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thiellet\OneDrive - Infopro Digital\Téléchargements\"/>
    </mc:Choice>
  </mc:AlternateContent>
  <bookViews>
    <workbookView xWindow="0" yWindow="0" windowWidth="28800" windowHeight="12435"/>
  </bookViews>
  <sheets>
    <sheet name="Feuil1" sheetId="2" r:id="rId1"/>
  </sheets>
  <definedNames>
    <definedName name="_xlnm._FilterDatabase" localSheetId="0" hidden="1">Feuil1!$A$1:$AU$1</definedName>
    <definedName name="_xlnm.Print_Area" localSheetId="0">Feuil1!$A:$AK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4" i="2" l="1"/>
  <c r="AB54" i="2"/>
  <c r="AA54" i="2"/>
  <c r="M54" i="2"/>
  <c r="AI53" i="2"/>
  <c r="AB53" i="2"/>
  <c r="AA53" i="2"/>
  <c r="M53" i="2"/>
  <c r="AI30" i="2"/>
  <c r="AB30" i="2"/>
  <c r="AA30" i="2"/>
  <c r="M30" i="2"/>
  <c r="AI28" i="2"/>
  <c r="AB28" i="2"/>
  <c r="AA28" i="2"/>
  <c r="M28" i="2"/>
  <c r="AI24" i="2"/>
  <c r="M24" i="2"/>
  <c r="AI19" i="2"/>
  <c r="AB19" i="2"/>
  <c r="AA19" i="2"/>
  <c r="M19" i="2"/>
  <c r="AI18" i="2"/>
  <c r="AB18" i="2"/>
  <c r="AA18" i="2"/>
  <c r="M18" i="2"/>
  <c r="AI17" i="2"/>
  <c r="AB17" i="2"/>
  <c r="AA17" i="2"/>
  <c r="M17" i="2"/>
  <c r="AI16" i="2"/>
  <c r="AB16" i="2"/>
  <c r="AA16" i="2"/>
  <c r="M16" i="2"/>
  <c r="AI12" i="2"/>
  <c r="M12" i="2"/>
  <c r="AI11" i="2"/>
  <c r="AG11" i="2"/>
  <c r="AB11" i="2"/>
  <c r="AA11" i="2"/>
  <c r="M11" i="2"/>
  <c r="AI10" i="2"/>
  <c r="AB10" i="2"/>
  <c r="AA10" i="2"/>
  <c r="M10" i="2"/>
  <c r="AI9" i="2"/>
  <c r="AG9" i="2"/>
  <c r="AB9" i="2"/>
  <c r="AA9" i="2"/>
  <c r="M9" i="2"/>
  <c r="AI8" i="2"/>
  <c r="AB8" i="2"/>
  <c r="AA8" i="2"/>
  <c r="M8" i="2"/>
  <c r="AI3" i="2"/>
  <c r="AB3" i="2"/>
  <c r="AA3" i="2"/>
  <c r="M3" i="2"/>
  <c r="AI52" i="2"/>
  <c r="AB52" i="2"/>
  <c r="AA52" i="2"/>
  <c r="M52" i="2"/>
  <c r="AI5" i="2"/>
  <c r="AB5" i="2"/>
  <c r="AA5" i="2"/>
  <c r="M5" i="2"/>
  <c r="AI51" i="2"/>
  <c r="M51" i="2"/>
  <c r="AI50" i="2"/>
  <c r="M50" i="2"/>
  <c r="AI49" i="2"/>
  <c r="AB49" i="2"/>
  <c r="AA49" i="2"/>
  <c r="M49" i="2"/>
  <c r="AI7" i="2"/>
  <c r="AB7" i="2"/>
  <c r="AA7" i="2"/>
  <c r="M7" i="2"/>
  <c r="AI48" i="2"/>
  <c r="M48" i="2"/>
  <c r="AI14" i="2"/>
  <c r="AB14" i="2"/>
  <c r="AA14" i="2"/>
  <c r="M14" i="2"/>
  <c r="AI6" i="2"/>
  <c r="AB6" i="2"/>
  <c r="AA6" i="2"/>
  <c r="M6" i="2"/>
  <c r="AI47" i="2"/>
  <c r="M47" i="2"/>
  <c r="AI27" i="2"/>
  <c r="AB27" i="2"/>
  <c r="AA27" i="2"/>
  <c r="M27" i="2"/>
  <c r="AI46" i="2"/>
  <c r="M46" i="2"/>
  <c r="AI45" i="2"/>
  <c r="AB45" i="2"/>
  <c r="AA45" i="2"/>
  <c r="M45" i="2"/>
  <c r="AI44" i="2"/>
  <c r="AB44" i="2"/>
  <c r="AA44" i="2"/>
  <c r="M44" i="2"/>
  <c r="AI43" i="2"/>
  <c r="M43" i="2"/>
  <c r="AI42" i="2"/>
  <c r="AB42" i="2"/>
  <c r="AA42" i="2"/>
  <c r="M42" i="2"/>
  <c r="AI26" i="2"/>
  <c r="AB26" i="2"/>
  <c r="AA26" i="2"/>
  <c r="M26" i="2"/>
  <c r="AI41" i="2"/>
  <c r="M41" i="2"/>
  <c r="AI40" i="2"/>
  <c r="M40" i="2"/>
  <c r="AI15" i="2"/>
  <c r="AB15" i="2"/>
  <c r="AA15" i="2"/>
  <c r="M15" i="2"/>
  <c r="AI39" i="2"/>
  <c r="AB39" i="2"/>
  <c r="AA39" i="2"/>
  <c r="M39" i="2"/>
  <c r="AI20" i="2"/>
  <c r="AB20" i="2"/>
  <c r="AA20" i="2"/>
  <c r="M20" i="2"/>
  <c r="AI4" i="2"/>
  <c r="AB4" i="2"/>
  <c r="AA4" i="2"/>
  <c r="M4" i="2"/>
  <c r="AI21" i="2"/>
  <c r="AB21" i="2"/>
  <c r="AA21" i="2"/>
  <c r="M21" i="2"/>
  <c r="AI29" i="2"/>
  <c r="AB29" i="2"/>
  <c r="AA29" i="2"/>
  <c r="M29" i="2"/>
  <c r="AI38" i="2"/>
  <c r="AB38" i="2"/>
  <c r="AA38" i="2"/>
  <c r="M38" i="2"/>
  <c r="AI37" i="2"/>
  <c r="AB37" i="2"/>
  <c r="AA37" i="2"/>
  <c r="M37" i="2"/>
  <c r="AI23" i="2"/>
  <c r="AB23" i="2"/>
  <c r="AA23" i="2"/>
  <c r="M23" i="2"/>
  <c r="AI22" i="2"/>
  <c r="AB22" i="2"/>
  <c r="AA22" i="2"/>
  <c r="M22" i="2"/>
  <c r="AI35" i="2"/>
  <c r="M35" i="2"/>
  <c r="AI34" i="2"/>
  <c r="AB34" i="2"/>
  <c r="AA34" i="2"/>
  <c r="M34" i="2"/>
  <c r="AI13" i="2"/>
  <c r="AB13" i="2"/>
  <c r="AA13" i="2"/>
  <c r="M13" i="2"/>
  <c r="AI33" i="2"/>
  <c r="AG33" i="2"/>
  <c r="AB33" i="2"/>
  <c r="AA33" i="2"/>
  <c r="M33" i="2"/>
  <c r="AI2" i="2"/>
  <c r="AB2" i="2"/>
  <c r="AA2" i="2"/>
  <c r="M2" i="2"/>
  <c r="AI25" i="2"/>
  <c r="AB25" i="2"/>
  <c r="AA25" i="2"/>
  <c r="M25" i="2"/>
  <c r="AI32" i="2"/>
  <c r="AB32" i="2"/>
  <c r="AA32" i="2"/>
  <c r="M32" i="2"/>
  <c r="AI31" i="2"/>
  <c r="AB31" i="2"/>
  <c r="AA31" i="2"/>
  <c r="M31" i="2"/>
</calcChain>
</file>

<file path=xl/sharedStrings.xml><?xml version="1.0" encoding="utf-8"?>
<sst xmlns="http://schemas.openxmlformats.org/spreadsheetml/2006/main" count="649" uniqueCount="377">
  <si>
    <t>Statut</t>
  </si>
  <si>
    <t>Ident</t>
  </si>
  <si>
    <t>Centrale/Siege</t>
  </si>
  <si>
    <t>Etb affiliation</t>
  </si>
  <si>
    <t>Type</t>
  </si>
  <si>
    <t>Enseigne</t>
  </si>
  <si>
    <t>Nom de l'établissement</t>
  </si>
  <si>
    <t>DATE chg enseigne</t>
  </si>
  <si>
    <t>Ex enseigne</t>
  </si>
  <si>
    <t>ADRESSE1</t>
  </si>
  <si>
    <t>ADRESSE2</t>
  </si>
  <si>
    <t>ADRESSE3</t>
  </si>
  <si>
    <t>Code postal</t>
  </si>
  <si>
    <t>Ville</t>
  </si>
  <si>
    <t>Téléphone</t>
  </si>
  <si>
    <t>Fax</t>
  </si>
  <si>
    <t>Sté exploit</t>
  </si>
  <si>
    <t>Surf Vente</t>
  </si>
  <si>
    <t>Anc Surf Vente</t>
  </si>
  <si>
    <t>DATE chgt surf</t>
  </si>
  <si>
    <t>Nbr de caisses</t>
  </si>
  <si>
    <t>Nbr emp</t>
  </si>
  <si>
    <t>DATE ouv</t>
  </si>
  <si>
    <t>DATE ferm</t>
  </si>
  <si>
    <t>DATE réouv</t>
  </si>
  <si>
    <t>Nbr parking</t>
  </si>
  <si>
    <t>N°Siren</t>
  </si>
  <si>
    <t>N°Siret</t>
  </si>
  <si>
    <t>Code NAF</t>
  </si>
  <si>
    <t>Surf alim/couverte</t>
  </si>
  <si>
    <t>Surf non alim/non couverte</t>
  </si>
  <si>
    <t>BP</t>
  </si>
  <si>
    <t>BP PTT</t>
  </si>
  <si>
    <t>BP VILLE</t>
  </si>
  <si>
    <t>Code INSEE</t>
  </si>
  <si>
    <t>Act Annexes</t>
  </si>
  <si>
    <t>Pompes</t>
  </si>
  <si>
    <t>M</t>
  </si>
  <si>
    <t>FURSAC</t>
  </si>
  <si>
    <t>TEX</t>
  </si>
  <si>
    <t>DE FURSAC</t>
  </si>
  <si>
    <t>125 BOULEVARD JEAN JAURÈS</t>
  </si>
  <si>
    <t>88 RUE GALLIÉNI</t>
  </si>
  <si>
    <t>BOULOGNE-BILLANCOURT</t>
  </si>
  <si>
    <t>01.46.21.04.97</t>
  </si>
  <si>
    <t>4719B</t>
  </si>
  <si>
    <t>13 RUE SOMMEILLER</t>
  </si>
  <si>
    <t>ANNECY</t>
  </si>
  <si>
    <t>09.71.51.68.64</t>
  </si>
  <si>
    <t>4771Z</t>
  </si>
  <si>
    <t>TAPIS SAINT MACLOU</t>
  </si>
  <si>
    <t>MB</t>
  </si>
  <si>
    <t>JYSK</t>
  </si>
  <si>
    <t>KALICO</t>
  </si>
  <si>
    <t>CC QUENTIN DE LA TOUR</t>
  </si>
  <si>
    <t>1 ROUTE D'AMIENS</t>
  </si>
  <si>
    <t>ROUTE NATIONALE 29</t>
  </si>
  <si>
    <t>FAYET</t>
  </si>
  <si>
    <t>03.20.00.17.99</t>
  </si>
  <si>
    <t>4759A</t>
  </si>
  <si>
    <t>NORMAL FRANCE</t>
  </si>
  <si>
    <t>SOLD</t>
  </si>
  <si>
    <t>NORMAL</t>
  </si>
  <si>
    <t>MONOP'</t>
  </si>
  <si>
    <t>44 BOULEVARD JEAN JAURÈS</t>
  </si>
  <si>
    <t>06.27.38.94.49</t>
  </si>
  <si>
    <t>FOURNIER</t>
  </si>
  <si>
    <t>CS</t>
  </si>
  <si>
    <t>MOBALPA</t>
  </si>
  <si>
    <t>TOUSALON</t>
  </si>
  <si>
    <t>335 AVENUE PAUL HENRI MOUTON</t>
  </si>
  <si>
    <t>CARCASSONNE</t>
  </si>
  <si>
    <t>04.82.75.40.00</t>
  </si>
  <si>
    <t>JMF CREATION</t>
  </si>
  <si>
    <t>4332A</t>
  </si>
  <si>
    <t>MR.BRICOLAGE</t>
  </si>
  <si>
    <t>BR</t>
  </si>
  <si>
    <t>BRICO E.LECLERC</t>
  </si>
  <si>
    <t>ZA DE TOUVENT</t>
  </si>
  <si>
    <t>LIEU-DIT PRÉ NEUF</t>
  </si>
  <si>
    <t>LUBERSAC</t>
  </si>
  <si>
    <t>05.55.97.23.83</t>
  </si>
  <si>
    <t>ETS REGNAULT</t>
  </si>
  <si>
    <t>4752B</t>
  </si>
  <si>
    <t>OUEST HARMONIE</t>
  </si>
  <si>
    <t>MAXI BAZAR</t>
  </si>
  <si>
    <t>ESPACE MONTAGNE/MONDOVELO/SPORT 2000</t>
  </si>
  <si>
    <t>ZI DE LA MALADIÈRE</t>
  </si>
  <si>
    <t>1 RUE EDOUARD BRANLY</t>
  </si>
  <si>
    <t>BOURGOIN-JALLIEU</t>
  </si>
  <si>
    <t>09.72.10.44.33</t>
  </si>
  <si>
    <t>DR INTEGRES PROXIMITES SUD-EST</t>
  </si>
  <si>
    <t>U</t>
  </si>
  <si>
    <t>CASINO#TOUTPRES</t>
  </si>
  <si>
    <t>CASINO SHOP</t>
  </si>
  <si>
    <t>41/43 ROUTE DE VANNES</t>
  </si>
  <si>
    <t>NANTES</t>
  </si>
  <si>
    <t>DISTRIBUTION CASINO FRANCE</t>
  </si>
  <si>
    <t>4711B</t>
  </si>
  <si>
    <t>CARREFOUR PROXIMITE FRANCE SUD OUEST</t>
  </si>
  <si>
    <t>S</t>
  </si>
  <si>
    <t>CARREFOUR CITY</t>
  </si>
  <si>
    <t>LIDL</t>
  </si>
  <si>
    <t>53 RUE DU 14 JUILLET</t>
  </si>
  <si>
    <t>16 RUE LAJUS</t>
  </si>
  <si>
    <t>PAU</t>
  </si>
  <si>
    <t>GOGAM</t>
  </si>
  <si>
    <t>4711D</t>
  </si>
  <si>
    <t>X</t>
  </si>
  <si>
    <t>GIFI</t>
  </si>
  <si>
    <t>CC VAL D'EUROPE</t>
  </si>
  <si>
    <t>14 COURS DU DANUBE</t>
  </si>
  <si>
    <t>SERRIS</t>
  </si>
  <si>
    <t>MARNE LA VALLEE CEDEX 4</t>
  </si>
  <si>
    <t>SCAPNOR</t>
  </si>
  <si>
    <t>E.LECLERC EXPRESS</t>
  </si>
  <si>
    <t>INTERMARCHE EXPRESS</t>
  </si>
  <si>
    <t>ZAC DE LA GARE</t>
  </si>
  <si>
    <t>4 PLACE MONTESQUIEU</t>
  </si>
  <si>
    <t>RUE DU CHAMP GAILLARD</t>
  </si>
  <si>
    <t>SAINT-OUEN-L'AUMÔNE</t>
  </si>
  <si>
    <t>DISTRIBUTION ALIMENTAIRE PARISIENNE (DIAPAR)</t>
  </si>
  <si>
    <t>DIAGONAL</t>
  </si>
  <si>
    <t>FRANPRIX</t>
  </si>
  <si>
    <t>226 AVENUE PRÉSIDENT WILSON</t>
  </si>
  <si>
    <t>SAINT-DENIS</t>
  </si>
  <si>
    <t>01.48.21.45.48</t>
  </si>
  <si>
    <t>WILSON DISTRIBUTION</t>
  </si>
  <si>
    <t>4711C</t>
  </si>
  <si>
    <t>CASINO FRANCHISE</t>
  </si>
  <si>
    <t>VIVAL</t>
  </si>
  <si>
    <t>PETIT CASINO</t>
  </si>
  <si>
    <t>161 AV DU GÉNÉRAL DE GAULLE</t>
  </si>
  <si>
    <t>VILLENEUVE-SUR-LOT</t>
  </si>
  <si>
    <t>05.47.66.44.18</t>
  </si>
  <si>
    <t>ANDRIA</t>
  </si>
  <si>
    <t>ECOMIAM.COM</t>
  </si>
  <si>
    <t>SURG</t>
  </si>
  <si>
    <t>ECOMIAM</t>
  </si>
  <si>
    <t>PIMKIE</t>
  </si>
  <si>
    <t>ZC LES MARQUISES</t>
  </si>
  <si>
    <t>23 RUE MARCEL COQUET</t>
  </si>
  <si>
    <t>MÉRU</t>
  </si>
  <si>
    <t>03.44.03.51.20</t>
  </si>
  <si>
    <t>MMS</t>
  </si>
  <si>
    <t>4711A</t>
  </si>
  <si>
    <t>CARREFOUR PROXIMITE FRANCE NORD</t>
  </si>
  <si>
    <t>COCCINELLE SUPERMARCHE</t>
  </si>
  <si>
    <t>4/6 PLACE EMILE LE TURCQ</t>
  </si>
  <si>
    <t>ALBERT</t>
  </si>
  <si>
    <t>GERMAIN DISTRIB</t>
  </si>
  <si>
    <t>CARREFOUR PROXIMITE FRANCE PARIS CENTRE</t>
  </si>
  <si>
    <t>MARKS &amp; SPENCER FOOD</t>
  </si>
  <si>
    <t>69 AVENUE DU GÉNÉRAL LECLERC</t>
  </si>
  <si>
    <t>PARIS</t>
  </si>
  <si>
    <t>MALAHIEUDE SCN</t>
  </si>
  <si>
    <t>BOULANGERIES BG</t>
  </si>
  <si>
    <t>GSF</t>
  </si>
  <si>
    <t>MANGEONS FRAIS</t>
  </si>
  <si>
    <t>LES COMPTOIRS DE LA BIO</t>
  </si>
  <si>
    <t>1 CHEMIN DE LA PASSERONNE</t>
  </si>
  <si>
    <t>PAMIERS</t>
  </si>
  <si>
    <t>DISTRIMF</t>
  </si>
  <si>
    <t>U ENSEIGNE NORD-OUEST</t>
  </si>
  <si>
    <t>U EXPRESS</t>
  </si>
  <si>
    <t>UTILE</t>
  </si>
  <si>
    <t>PARC DES HAYES</t>
  </si>
  <si>
    <t>ROUTE DÉPARTEMENTALE 309</t>
  </si>
  <si>
    <t>SAINT-GEORGES-DU-BOIS</t>
  </si>
  <si>
    <t>GEORDIS</t>
  </si>
  <si>
    <t>7010Z</t>
  </si>
  <si>
    <t>U ENSEIGNE EST</t>
  </si>
  <si>
    <t>NETTO</t>
  </si>
  <si>
    <t>759 RUE JEAN JAURÈS</t>
  </si>
  <si>
    <t>CUINCY</t>
  </si>
  <si>
    <t>03.27.90.60.32</t>
  </si>
  <si>
    <t>SASHEL</t>
  </si>
  <si>
    <t>MAISON 123</t>
  </si>
  <si>
    <t>ETAM</t>
  </si>
  <si>
    <t>CC GRAND QUARTIER</t>
  </si>
  <si>
    <t>ROUTE DE SAINT-MALO</t>
  </si>
  <si>
    <t>SAINT-GRÉGOIRE</t>
  </si>
  <si>
    <t>02.99.14.02.24</t>
  </si>
  <si>
    <t>THOM EUROPE</t>
  </si>
  <si>
    <t>BIJ</t>
  </si>
  <si>
    <t>TRESOR</t>
  </si>
  <si>
    <t>J'M</t>
  </si>
  <si>
    <t>CC ATLANTIS</t>
  </si>
  <si>
    <t>BOULEVARD SALVADOR ALLENDE</t>
  </si>
  <si>
    <t>SAINT-HERBLAIN</t>
  </si>
  <si>
    <t>02.40.02.84.80</t>
  </si>
  <si>
    <t>THOM</t>
  </si>
  <si>
    <t>4777Z</t>
  </si>
  <si>
    <t>TRICOTS SAINT-JAMES</t>
  </si>
  <si>
    <t>CHAU</t>
  </si>
  <si>
    <t>SAINT-JAMES</t>
  </si>
  <si>
    <t>FINSBURY</t>
  </si>
  <si>
    <t>149 AVENUE GÉNÉRAL DE GAULLE</t>
  </si>
  <si>
    <t>LA BAULE-ESCOUBLAC</t>
  </si>
  <si>
    <t>02.40.17.39.44</t>
  </si>
  <si>
    <t>BARTHE CLAUDE</t>
  </si>
  <si>
    <t>SYMBIOSE</t>
  </si>
  <si>
    <t>22 RUE DU CHÂTEAU</t>
  </si>
  <si>
    <t>CHERBOURG-EN-COTENTIN</t>
  </si>
  <si>
    <t>44 RUE DE LA CHAUSSÉE D'ANTIN</t>
  </si>
  <si>
    <t>01.42.82.07.12</t>
  </si>
  <si>
    <t>ETAM LINGERIE</t>
  </si>
  <si>
    <t>TAPE A L'OEIL</t>
  </si>
  <si>
    <t>CELIO</t>
  </si>
  <si>
    <t>ZONE DES GANDES EPENOTTES</t>
  </si>
  <si>
    <t>9 RUE LÉON BEL</t>
  </si>
  <si>
    <t>20 RUE FRANÇOIS XAVIER BICHAT</t>
  </si>
  <si>
    <t>DOLE</t>
  </si>
  <si>
    <t>03.84.79.06.27</t>
  </si>
  <si>
    <t>BIMOTA</t>
  </si>
  <si>
    <t>KOOKAÏ</t>
  </si>
  <si>
    <t>84 RUE DU MARÉCHAL FOCH</t>
  </si>
  <si>
    <t>ROANNE</t>
  </si>
  <si>
    <t>04.77.71.20.57</t>
  </si>
  <si>
    <t>SARL THOFF</t>
  </si>
  <si>
    <t>INTERMARCHE</t>
  </si>
  <si>
    <t>7 PLACE DE LA NOUVELLE HALLE</t>
  </si>
  <si>
    <t>CHÂTEAUNEUF-SUR-LOIRE</t>
  </si>
  <si>
    <t>FRANDIS</t>
  </si>
  <si>
    <t>GINGER</t>
  </si>
  <si>
    <t>SUD EXPRESS</t>
  </si>
  <si>
    <t>CATIMINI</t>
  </si>
  <si>
    <t>7 RUE BILLAULT</t>
  </si>
  <si>
    <t>IMPASSE DU CHÂTEAU LA MOTTE</t>
  </si>
  <si>
    <t>VANNES</t>
  </si>
  <si>
    <t>02.97.69.04.85</t>
  </si>
  <si>
    <t>ACTION FRANCE</t>
  </si>
  <si>
    <t>ACTION</t>
  </si>
  <si>
    <t>PICWICTOYS</t>
  </si>
  <si>
    <t>CC ART DE VIVRE</t>
  </si>
  <si>
    <t>1 RUE DU BAS NOYER</t>
  </si>
  <si>
    <t>ÉRAGNY</t>
  </si>
  <si>
    <t>4719A</t>
  </si>
  <si>
    <t>U ENSEIGNE OUEST</t>
  </si>
  <si>
    <t>DRIN</t>
  </si>
  <si>
    <t>COURSES U</t>
  </si>
  <si>
    <t>LE DRIVE INTERMARCHE</t>
  </si>
  <si>
    <t>ZA LA PERRIÈRE</t>
  </si>
  <si>
    <t>4 RUE LES LEVÉES MIRAUD</t>
  </si>
  <si>
    <t>LA CHAPELLE-DES-MARAIS</t>
  </si>
  <si>
    <t>02.40.53.27.71</t>
  </si>
  <si>
    <t>MARAIDIS</t>
  </si>
  <si>
    <t>ITM ALIMENTAIRE EST</t>
  </si>
  <si>
    <t>H</t>
  </si>
  <si>
    <t>INTERMARCHE CONTACT</t>
  </si>
  <si>
    <t>CASINO</t>
  </si>
  <si>
    <t>26 BOULEVARD DE LA ROCHELLE</t>
  </si>
  <si>
    <t>BAR-LE-DUC</t>
  </si>
  <si>
    <t>03.29.79.11.82</t>
  </si>
  <si>
    <t>ITM ALIMENTAIRE CENTRE-EST</t>
  </si>
  <si>
    <t>INTERMARCHE HYPER</t>
  </si>
  <si>
    <t>CASINO#HYPER FRAIS</t>
  </si>
  <si>
    <t>CC GEANT VALS PRES LE PUY</t>
  </si>
  <si>
    <t>AVENUE JEANNE D'ARC</t>
  </si>
  <si>
    <t>VALS-PRÈS-LE-PUY</t>
  </si>
  <si>
    <t>04.71.07.14.00</t>
  </si>
  <si>
    <t>4711F</t>
  </si>
  <si>
    <t>BP 5</t>
  </si>
  <si>
    <t>INTERMARCHE SUPER</t>
  </si>
  <si>
    <t>45 AVENUE DU GÉNÉRAL DE GAULLE</t>
  </si>
  <si>
    <t>SAINT-LOUIS</t>
  </si>
  <si>
    <t>03.89.89.74.00</t>
  </si>
  <si>
    <t>ITM ALIMENTAIRE SUD-OUEST</t>
  </si>
  <si>
    <t>CC CAP DU CRES</t>
  </si>
  <si>
    <t>150 BOULEVARD BRASSENS</t>
  </si>
  <si>
    <t>MILLAU</t>
  </si>
  <si>
    <t>05.65.59.64.00</t>
  </si>
  <si>
    <t>CC MARLIOZ</t>
  </si>
  <si>
    <t>33 RUE CLÉMENT ADER</t>
  </si>
  <si>
    <t>AIX-LES-BAINS</t>
  </si>
  <si>
    <t>04.79.34.34.00</t>
  </si>
  <si>
    <t>GAMM VERT NORD</t>
  </si>
  <si>
    <t>L</t>
  </si>
  <si>
    <t>GAMM VERT NATURE</t>
  </si>
  <si>
    <t>GAMM VERT</t>
  </si>
  <si>
    <t>ROUTE DE VIARMES</t>
  </si>
  <si>
    <t>CHEMIN DÉPARTEMENTAL 909</t>
  </si>
  <si>
    <t>VILLAINES-SOUS-BOIS</t>
  </si>
  <si>
    <t>01.34.09.11.11</t>
  </si>
  <si>
    <t>VERTDIS</t>
  </si>
  <si>
    <t>4776Z</t>
  </si>
  <si>
    <t>PLACE DE LA BASCULE</t>
  </si>
  <si>
    <t>110 RUE DE DÔLE</t>
  </si>
  <si>
    <t>SAINT-FERJEUX</t>
  </si>
  <si>
    <t>BESANÇON</t>
  </si>
  <si>
    <t>03.81.52.08.40</t>
  </si>
  <si>
    <t>102 AVENUE DU GÉNÉRAL LECLERC</t>
  </si>
  <si>
    <t>CAUDÉRAN</t>
  </si>
  <si>
    <t>BORDEAUX</t>
  </si>
  <si>
    <t>05.57.22.44.60</t>
  </si>
  <si>
    <t>ZAC DES CHAPRAIS</t>
  </si>
  <si>
    <t>52 RUE DE BELFORT</t>
  </si>
  <si>
    <t>03.81.47.92.40</t>
  </si>
  <si>
    <t>G 20</t>
  </si>
  <si>
    <t>18 PLACE DE LA MAIRIE</t>
  </si>
  <si>
    <t>VERN-SUR-SEICHE</t>
  </si>
  <si>
    <t>VERNDIS</t>
  </si>
  <si>
    <t>CC CNIT</t>
  </si>
  <si>
    <t>2 PLACE DE LA DÉFENSE</t>
  </si>
  <si>
    <t>LOCAL M 36</t>
  </si>
  <si>
    <t>PUTEAUX</t>
  </si>
  <si>
    <t>01.47.62.84.34</t>
  </si>
  <si>
    <t>BP 240</t>
  </si>
  <si>
    <t>PUTEAUX CEDEX</t>
  </si>
  <si>
    <t>38 RUE DU PRÉSIDENT WILSON</t>
  </si>
  <si>
    <t>LEVALLOIS-PERRET</t>
  </si>
  <si>
    <t>01.42.70.11.13</t>
  </si>
  <si>
    <t>CC MARQUES AVENUE A6</t>
  </si>
  <si>
    <t>2 RUE JEAN COCTEAU</t>
  </si>
  <si>
    <t>CORBEIL-ESSONNES</t>
  </si>
  <si>
    <t>01.64.96.57.49</t>
  </si>
  <si>
    <t>30 GRANDE RUE</t>
  </si>
  <si>
    <t>SANCERGUES</t>
  </si>
  <si>
    <t>02.48.72.71.34</t>
  </si>
  <si>
    <t>BERRY'SHOP</t>
  </si>
  <si>
    <t>CARREFOUR PROXIMITE FRANCE OUEST</t>
  </si>
  <si>
    <t>PROXI</t>
  </si>
  <si>
    <t>16 RUE DU GÉNÉRAL LECLERC</t>
  </si>
  <si>
    <t>HOULGATE</t>
  </si>
  <si>
    <t>ENCJ</t>
  </si>
  <si>
    <t>PROXI SERVICE</t>
  </si>
  <si>
    <t>1 PLACE D'ISIGNY</t>
  </si>
  <si>
    <t>VERSAILLES</t>
  </si>
  <si>
    <t>06.51.39.19.38</t>
  </si>
  <si>
    <t>SAS SHARU</t>
  </si>
  <si>
    <t>10 AVENUE JACQUES BORDENEUVE</t>
  </si>
  <si>
    <t>05.53.49.01.57</t>
  </si>
  <si>
    <t>AVENUE ROGER SCHWOB</t>
  </si>
  <si>
    <t>CENON</t>
  </si>
  <si>
    <t>05.57.77.02.00</t>
  </si>
  <si>
    <t>2 AVENUE DU GÉNÉRAL DE GAULLE</t>
  </si>
  <si>
    <t>CHAGNY</t>
  </si>
  <si>
    <t>03.85.87.62.60</t>
  </si>
  <si>
    <t>CHORUS</t>
  </si>
  <si>
    <t>CC LA FAUCONNIERE</t>
  </si>
  <si>
    <t>24 RUE FAUCONNIÈRE</t>
  </si>
  <si>
    <t>RUE GEORGES MAEDER</t>
  </si>
  <si>
    <t>SEYSSINET-PARISET</t>
  </si>
  <si>
    <t>04.76.84.02.44</t>
  </si>
  <si>
    <t>ITM ALIMENTAIRE SUD-EST</t>
  </si>
  <si>
    <t>ZAC DE LA CAPITELLE</t>
  </si>
  <si>
    <t>CHEMIN DE CALVISSON</t>
  </si>
  <si>
    <t>ROUTE NATIONALE 113</t>
  </si>
  <si>
    <t>BERNIS</t>
  </si>
  <si>
    <t>04.66.73.14.00</t>
  </si>
  <si>
    <t>PIMY</t>
  </si>
  <si>
    <t>SCADIF</t>
  </si>
  <si>
    <t>CENTRE E.LECLERC</t>
  </si>
  <si>
    <t>107 RUE DE CONCY</t>
  </si>
  <si>
    <t>YERRES</t>
  </si>
  <si>
    <t>01.84.74.84.60</t>
  </si>
  <si>
    <t>DECOR HEYTENS FRANCE</t>
  </si>
  <si>
    <t>DECO</t>
  </si>
  <si>
    <t>HEYTENS</t>
  </si>
  <si>
    <t>84 AVENUE DE PARIS</t>
  </si>
  <si>
    <t>94300</t>
  </si>
  <si>
    <t>VINCENNES</t>
  </si>
  <si>
    <t>01.85.16.10.18</t>
  </si>
  <si>
    <t>HOLLYN</t>
  </si>
  <si>
    <t>981518632</t>
  </si>
  <si>
    <t>00014</t>
  </si>
  <si>
    <t>4759B</t>
  </si>
  <si>
    <t>94080</t>
  </si>
  <si>
    <t>CC O'PARINOR</t>
  </si>
  <si>
    <t>LE HAUT DE GALY</t>
  </si>
  <si>
    <t>93600</t>
  </si>
  <si>
    <t>AULNAY-SOUS-BOIS</t>
  </si>
  <si>
    <t>753308238</t>
  </si>
  <si>
    <t>08648</t>
  </si>
  <si>
    <t>93606</t>
  </si>
  <si>
    <t>AULNAY-SOUS-BOIS CEDEX</t>
  </si>
  <si>
    <t>93005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</si>
</sst>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tabSelected="1" view="pageBreakPreview" zoomScale="80" zoomScaleNormal="80" zoomScaleSheetLayoutView="80" workbookViewId="0">
      <selection activeCell="S1" sqref="S1:S1048576"/>
    </sheetView>
  </sheetViews>
  <sheetFormatPr baseColWidth="10" defaultColWidth="10.85546875" defaultRowHeight="15" x14ac:dyDescent="0.25"/>
  <cols>
    <col min="1" max="1" width="7" style="1" bestFit="1" customWidth="1"/>
    <col min="2" max="2" width="8.7109375" style="3" bestFit="1" customWidth="1"/>
    <col min="3" max="3" width="15.7109375" style="3" bestFit="1" customWidth="1"/>
    <col min="4" max="4" width="49.42578125" style="1" bestFit="1" customWidth="1"/>
    <col min="5" max="5" width="6.42578125" style="1" bestFit="1" customWidth="1"/>
    <col min="6" max="6" width="23.85546875" style="1" bestFit="1" customWidth="1"/>
    <col min="7" max="7" width="25.140625" style="1" bestFit="1" customWidth="1"/>
    <col min="8" max="8" width="19.5703125" style="1" bestFit="1" customWidth="1"/>
    <col min="9" max="9" width="44.85546875" style="1" bestFit="1" customWidth="1"/>
    <col min="10" max="10" width="35" style="1" bestFit="1" customWidth="1"/>
    <col min="11" max="11" width="32" style="1" bestFit="1" customWidth="1"/>
    <col min="12" max="12" width="32.42578125" style="1" bestFit="1" customWidth="1"/>
    <col min="13" max="13" width="12.85546875" style="1" bestFit="1" customWidth="1"/>
    <col min="14" max="14" width="26.42578125" style="1" bestFit="1" customWidth="1"/>
    <col min="15" max="15" width="14.140625" style="1" bestFit="1" customWidth="1"/>
    <col min="16" max="16" width="4.42578125" style="1" bestFit="1" customWidth="1"/>
    <col min="17" max="17" width="30.5703125" style="1" bestFit="1" customWidth="1"/>
    <col min="18" max="18" width="11.28515625" style="1" bestFit="1" customWidth="1"/>
    <col min="19" max="19" width="15.140625" style="3" bestFit="1" customWidth="1"/>
    <col min="20" max="20" width="14.85546875" style="1" bestFit="1" customWidth="1"/>
    <col min="21" max="21" width="15.5703125" style="3" bestFit="1" customWidth="1"/>
    <col min="22" max="22" width="9.42578125" style="3" bestFit="1" customWidth="1"/>
    <col min="23" max="23" width="12.5703125" style="1" bestFit="1" customWidth="1"/>
    <col min="24" max="24" width="12.7109375" style="1" bestFit="1" customWidth="1"/>
    <col min="25" max="25" width="14" style="1" bestFit="1" customWidth="1"/>
    <col min="26" max="26" width="12.42578125" style="3" bestFit="1" customWidth="1"/>
    <col min="27" max="27" width="10.85546875" style="1" bestFit="1" customWidth="1"/>
    <col min="28" max="28" width="7.85546875" style="1" bestFit="1" customWidth="1"/>
    <col min="29" max="29" width="10.28515625" style="1" bestFit="1" customWidth="1"/>
    <col min="30" max="30" width="19.28515625" style="1" bestFit="1" customWidth="1"/>
    <col min="31" max="31" width="28" style="1" bestFit="1" customWidth="1"/>
    <col min="32" max="33" width="7.28515625" style="1" bestFit="1" customWidth="1"/>
    <col min="34" max="34" width="26" style="1" bestFit="1" customWidth="1"/>
    <col min="35" max="35" width="12" style="1" bestFit="1" customWidth="1"/>
    <col min="36" max="36" width="12.85546875" style="1" bestFit="1" customWidth="1"/>
    <col min="37" max="37" width="8.85546875" style="3" bestFit="1" customWidth="1"/>
    <col min="38" max="16384" width="10.85546875" style="1"/>
  </cols>
  <sheetData>
    <row r="1" spans="1:37" x14ac:dyDescent="0.25">
      <c r="A1" s="1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3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3" t="s">
        <v>36</v>
      </c>
    </row>
    <row r="2" spans="1:37" x14ac:dyDescent="0.25">
      <c r="A2" s="1" t="s">
        <v>37</v>
      </c>
      <c r="B2" s="3">
        <v>164042</v>
      </c>
      <c r="C2" s="3">
        <v>220285</v>
      </c>
      <c r="D2" s="1" t="s">
        <v>38</v>
      </c>
      <c r="E2" s="1" t="s">
        <v>39</v>
      </c>
      <c r="F2" s="1" t="s">
        <v>38</v>
      </c>
      <c r="G2" s="1" t="s">
        <v>38</v>
      </c>
      <c r="H2" s="2">
        <v>45301</v>
      </c>
      <c r="I2" s="1" t="s">
        <v>40</v>
      </c>
      <c r="J2" s="1" t="s">
        <v>41</v>
      </c>
      <c r="K2" s="1" t="s">
        <v>42</v>
      </c>
      <c r="M2" s="1" t="str">
        <f>"92100"</f>
        <v>92100</v>
      </c>
      <c r="N2" s="1" t="s">
        <v>43</v>
      </c>
      <c r="O2" s="1" t="s">
        <v>44</v>
      </c>
      <c r="Q2" s="1" t="s">
        <v>38</v>
      </c>
      <c r="R2" s="1">
        <v>80</v>
      </c>
      <c r="U2" s="3">
        <v>1</v>
      </c>
      <c r="V2" s="3">
        <v>2</v>
      </c>
      <c r="W2" s="2">
        <v>38776</v>
      </c>
      <c r="X2" s="2">
        <v>42795</v>
      </c>
      <c r="Y2" s="2">
        <v>42969</v>
      </c>
      <c r="AA2" s="1" t="str">
        <f>"378486096"</f>
        <v>378486096</v>
      </c>
      <c r="AB2" s="1" t="str">
        <f>"00381"</f>
        <v>00381</v>
      </c>
      <c r="AC2" s="1" t="s">
        <v>45</v>
      </c>
      <c r="AI2" s="1" t="str">
        <f>"92012"</f>
        <v>92012</v>
      </c>
    </row>
    <row r="3" spans="1:37" x14ac:dyDescent="0.25">
      <c r="A3" s="1" t="s">
        <v>37</v>
      </c>
      <c r="B3" s="3">
        <v>165171</v>
      </c>
      <c r="C3" s="3">
        <v>220285</v>
      </c>
      <c r="D3" s="1" t="s">
        <v>38</v>
      </c>
      <c r="E3" s="1" t="s">
        <v>39</v>
      </c>
      <c r="F3" s="1" t="s">
        <v>38</v>
      </c>
      <c r="G3" s="1" t="s">
        <v>38</v>
      </c>
      <c r="H3" s="2">
        <v>45301</v>
      </c>
      <c r="I3" s="1" t="s">
        <v>40</v>
      </c>
      <c r="J3" s="1" t="s">
        <v>46</v>
      </c>
      <c r="M3" s="1" t="str">
        <f>"74000"</f>
        <v>74000</v>
      </c>
      <c r="N3" s="1" t="s">
        <v>47</v>
      </c>
      <c r="O3" s="1" t="s">
        <v>48</v>
      </c>
      <c r="Q3" s="1" t="s">
        <v>38</v>
      </c>
      <c r="R3" s="1">
        <v>80</v>
      </c>
      <c r="U3" s="3">
        <v>1</v>
      </c>
      <c r="V3" s="3">
        <v>3</v>
      </c>
      <c r="W3" s="2">
        <v>37926</v>
      </c>
      <c r="X3" s="2">
        <v>40977</v>
      </c>
      <c r="Y3" s="2">
        <v>43472</v>
      </c>
      <c r="AA3" s="1" t="str">
        <f>"378486096"</f>
        <v>378486096</v>
      </c>
      <c r="AB3" s="1" t="str">
        <f>"00415"</f>
        <v>00415</v>
      </c>
      <c r="AC3" s="1" t="s">
        <v>49</v>
      </c>
      <c r="AI3" s="1" t="str">
        <f>"74010"</f>
        <v>74010</v>
      </c>
    </row>
    <row r="4" spans="1:37" x14ac:dyDescent="0.25">
      <c r="A4" s="1" t="s">
        <v>37</v>
      </c>
      <c r="B4" s="3">
        <v>144351</v>
      </c>
      <c r="C4" s="3">
        <v>114957</v>
      </c>
      <c r="D4" s="1" t="s">
        <v>50</v>
      </c>
      <c r="E4" s="1" t="s">
        <v>51</v>
      </c>
      <c r="F4" s="1" t="s">
        <v>52</v>
      </c>
      <c r="G4" s="1" t="s">
        <v>52</v>
      </c>
      <c r="H4" s="2">
        <v>45133</v>
      </c>
      <c r="I4" s="1" t="s">
        <v>53</v>
      </c>
      <c r="J4" s="1" t="s">
        <v>54</v>
      </c>
      <c r="K4" s="1" t="s">
        <v>55</v>
      </c>
      <c r="L4" s="1" t="s">
        <v>56</v>
      </c>
      <c r="M4" s="1" t="str">
        <f>"02100"</f>
        <v>02100</v>
      </c>
      <c r="N4" s="1" t="s">
        <v>57</v>
      </c>
      <c r="O4" s="1" t="s">
        <v>58</v>
      </c>
      <c r="Q4" s="1" t="s">
        <v>52</v>
      </c>
      <c r="R4" s="1">
        <v>290</v>
      </c>
      <c r="U4" s="3">
        <v>3</v>
      </c>
      <c r="V4" s="3">
        <v>9</v>
      </c>
      <c r="W4" s="2">
        <v>39127</v>
      </c>
      <c r="X4" s="2">
        <v>44368</v>
      </c>
      <c r="Y4" s="2">
        <v>44477</v>
      </c>
      <c r="AA4" s="1" t="str">
        <f>"490752805"</f>
        <v>490752805</v>
      </c>
      <c r="AB4" s="1" t="str">
        <f>"00872"</f>
        <v>00872</v>
      </c>
      <c r="AC4" s="1" t="s">
        <v>59</v>
      </c>
      <c r="AI4" s="1" t="str">
        <f>"02303"</f>
        <v>02303</v>
      </c>
    </row>
    <row r="5" spans="1:37" x14ac:dyDescent="0.25">
      <c r="A5" s="1" t="s">
        <v>37</v>
      </c>
      <c r="B5" s="3">
        <v>401804</v>
      </c>
      <c r="C5" s="3">
        <v>459084</v>
      </c>
      <c r="D5" s="1" t="s">
        <v>60</v>
      </c>
      <c r="E5" s="1" t="s">
        <v>61</v>
      </c>
      <c r="F5" s="1" t="s">
        <v>62</v>
      </c>
      <c r="G5" s="1" t="s">
        <v>62</v>
      </c>
      <c r="H5" s="2">
        <v>45127</v>
      </c>
      <c r="I5" s="1" t="s">
        <v>63</v>
      </c>
      <c r="J5" s="1" t="s">
        <v>64</v>
      </c>
      <c r="M5" s="1" t="str">
        <f>"92100"</f>
        <v>92100</v>
      </c>
      <c r="N5" s="1" t="s">
        <v>43</v>
      </c>
      <c r="O5" s="1" t="s">
        <v>65</v>
      </c>
      <c r="Q5" s="1" t="s">
        <v>60</v>
      </c>
      <c r="R5" s="1">
        <v>390</v>
      </c>
      <c r="S5" s="3">
        <v>435</v>
      </c>
      <c r="T5" s="2">
        <v>45127</v>
      </c>
      <c r="U5" s="3">
        <v>5</v>
      </c>
      <c r="V5" s="3">
        <v>19</v>
      </c>
      <c r="W5" s="2">
        <v>42065</v>
      </c>
      <c r="X5" s="2">
        <v>45045</v>
      </c>
      <c r="Y5" s="2">
        <v>45127</v>
      </c>
      <c r="AA5" s="1" t="str">
        <f>"844431486"</f>
        <v>844431486</v>
      </c>
      <c r="AB5" s="1" t="str">
        <f>"01041"</f>
        <v>01041</v>
      </c>
      <c r="AC5" s="1" t="s">
        <v>45</v>
      </c>
      <c r="AI5" s="1" t="str">
        <f>"92012"</f>
        <v>92012</v>
      </c>
    </row>
    <row r="6" spans="1:37" x14ac:dyDescent="0.25">
      <c r="A6" s="1" t="s">
        <v>37</v>
      </c>
      <c r="B6" s="3">
        <v>225321</v>
      </c>
      <c r="C6" s="3">
        <v>117375</v>
      </c>
      <c r="D6" s="1" t="s">
        <v>66</v>
      </c>
      <c r="E6" s="1" t="s">
        <v>67</v>
      </c>
      <c r="F6" s="1" t="s">
        <v>68</v>
      </c>
      <c r="G6" s="1" t="s">
        <v>68</v>
      </c>
      <c r="H6" s="2">
        <v>45131</v>
      </c>
      <c r="I6" s="1" t="s">
        <v>69</v>
      </c>
      <c r="J6" s="1" t="s">
        <v>70</v>
      </c>
      <c r="M6" s="1" t="str">
        <f>"11000"</f>
        <v>11000</v>
      </c>
      <c r="N6" s="1" t="s">
        <v>71</v>
      </c>
      <c r="O6" s="1" t="s">
        <v>72</v>
      </c>
      <c r="Q6" s="1" t="s">
        <v>73</v>
      </c>
      <c r="R6" s="1">
        <v>250</v>
      </c>
      <c r="S6" s="3">
        <v>350</v>
      </c>
      <c r="T6" s="2">
        <v>45131</v>
      </c>
      <c r="U6" s="3">
        <v>1</v>
      </c>
      <c r="V6" s="3">
        <v>3</v>
      </c>
      <c r="W6" s="2">
        <v>41732</v>
      </c>
      <c r="X6" s="2">
        <v>42795</v>
      </c>
      <c r="Y6" s="2">
        <v>45131</v>
      </c>
      <c r="AA6" s="1" t="str">
        <f>"978056414"</f>
        <v>978056414</v>
      </c>
      <c r="AB6" s="1" t="str">
        <f>"00011"</f>
        <v>00011</v>
      </c>
      <c r="AC6" s="1" t="s">
        <v>74</v>
      </c>
      <c r="AI6" s="1" t="str">
        <f>"11069"</f>
        <v>11069</v>
      </c>
    </row>
    <row r="7" spans="1:37" x14ac:dyDescent="0.25">
      <c r="A7" s="1" t="s">
        <v>37</v>
      </c>
      <c r="B7" s="3">
        <v>414236</v>
      </c>
      <c r="C7" s="3">
        <v>26231</v>
      </c>
      <c r="D7" s="1" t="s">
        <v>75</v>
      </c>
      <c r="E7" s="1" t="s">
        <v>76</v>
      </c>
      <c r="F7" s="1" t="s">
        <v>75</v>
      </c>
      <c r="G7" s="1" t="s">
        <v>75</v>
      </c>
      <c r="H7" s="2">
        <v>45141</v>
      </c>
      <c r="I7" s="1" t="s">
        <v>77</v>
      </c>
      <c r="J7" s="1" t="s">
        <v>78</v>
      </c>
      <c r="K7" s="1" t="s">
        <v>79</v>
      </c>
      <c r="M7" s="1" t="str">
        <f>"19210"</f>
        <v>19210</v>
      </c>
      <c r="N7" s="1" t="s">
        <v>80</v>
      </c>
      <c r="O7" s="1" t="s">
        <v>81</v>
      </c>
      <c r="Q7" s="1" t="s">
        <v>82</v>
      </c>
      <c r="R7" s="1">
        <v>3402</v>
      </c>
      <c r="S7" s="3">
        <v>2400</v>
      </c>
      <c r="T7" s="2">
        <v>45141</v>
      </c>
      <c r="U7" s="3">
        <v>2</v>
      </c>
      <c r="V7" s="3">
        <v>9</v>
      </c>
      <c r="W7" s="2">
        <v>42552</v>
      </c>
      <c r="X7" s="2">
        <v>44525</v>
      </c>
      <c r="Y7" s="2">
        <v>45141</v>
      </c>
      <c r="AA7" s="1" t="str">
        <f>"433596418"</f>
        <v>433596418</v>
      </c>
      <c r="AB7" s="1" t="str">
        <f>"00031"</f>
        <v>00031</v>
      </c>
      <c r="AC7" s="1" t="s">
        <v>83</v>
      </c>
      <c r="AI7" s="1" t="str">
        <f>"19121"</f>
        <v>19121</v>
      </c>
    </row>
    <row r="8" spans="1:37" x14ac:dyDescent="0.25">
      <c r="A8" s="1" t="s">
        <v>37</v>
      </c>
      <c r="B8" s="3">
        <v>222118</v>
      </c>
      <c r="C8" s="3">
        <v>412911</v>
      </c>
      <c r="D8" s="1" t="s">
        <v>84</v>
      </c>
      <c r="E8" s="1" t="s">
        <v>61</v>
      </c>
      <c r="F8" s="1" t="s">
        <v>85</v>
      </c>
      <c r="G8" s="1" t="s">
        <v>85</v>
      </c>
      <c r="H8" s="2">
        <v>45146</v>
      </c>
      <c r="I8" s="1" t="s">
        <v>86</v>
      </c>
      <c r="J8" s="1" t="s">
        <v>87</v>
      </c>
      <c r="K8" s="1" t="s">
        <v>88</v>
      </c>
      <c r="M8" s="1" t="str">
        <f>"38300"</f>
        <v>38300</v>
      </c>
      <c r="N8" s="1" t="s">
        <v>89</v>
      </c>
      <c r="O8" s="1" t="s">
        <v>90</v>
      </c>
      <c r="Q8" s="1" t="s">
        <v>84</v>
      </c>
      <c r="R8" s="1">
        <v>1450</v>
      </c>
      <c r="S8" s="3">
        <v>1525</v>
      </c>
      <c r="T8" s="2">
        <v>45146</v>
      </c>
      <c r="U8" s="3">
        <v>3</v>
      </c>
      <c r="V8" s="3">
        <v>12</v>
      </c>
      <c r="W8" s="2">
        <v>41386</v>
      </c>
      <c r="X8" s="2">
        <v>44610</v>
      </c>
      <c r="Y8" s="2">
        <v>45146</v>
      </c>
      <c r="AA8" s="1" t="str">
        <f>"312326978"</f>
        <v>312326978</v>
      </c>
      <c r="AB8" s="1" t="str">
        <f>"00912"</f>
        <v>00912</v>
      </c>
      <c r="AC8" s="1" t="s">
        <v>45</v>
      </c>
      <c r="AI8" s="1" t="str">
        <f>"38053"</f>
        <v>38053</v>
      </c>
    </row>
    <row r="9" spans="1:37" x14ac:dyDescent="0.25">
      <c r="A9" s="1" t="s">
        <v>37</v>
      </c>
      <c r="B9" s="3">
        <v>473524</v>
      </c>
      <c r="C9" s="3">
        <v>49997</v>
      </c>
      <c r="D9" s="1" t="s">
        <v>91</v>
      </c>
      <c r="E9" s="1" t="s">
        <v>92</v>
      </c>
      <c r="F9" s="1" t="s">
        <v>93</v>
      </c>
      <c r="G9" s="1" t="s">
        <v>93</v>
      </c>
      <c r="H9" s="2">
        <v>45213</v>
      </c>
      <c r="I9" s="1" t="s">
        <v>94</v>
      </c>
      <c r="J9" s="1" t="s">
        <v>95</v>
      </c>
      <c r="M9" s="1" t="str">
        <f>"44100"</f>
        <v>44100</v>
      </c>
      <c r="N9" s="1" t="s">
        <v>96</v>
      </c>
      <c r="Q9" s="1" t="s">
        <v>97</v>
      </c>
      <c r="R9" s="1">
        <v>260</v>
      </c>
      <c r="U9" s="3">
        <v>1</v>
      </c>
      <c r="V9" s="3">
        <v>2</v>
      </c>
      <c r="W9" s="2">
        <v>44286</v>
      </c>
      <c r="X9" s="2">
        <v>45121</v>
      </c>
      <c r="Y9" s="2">
        <v>45213</v>
      </c>
      <c r="AA9" s="1" t="str">
        <f>"428268023"</f>
        <v>428268023</v>
      </c>
      <c r="AB9" s="1" t="str">
        <f>"43861"</f>
        <v>43861</v>
      </c>
      <c r="AC9" s="1" t="s">
        <v>98</v>
      </c>
      <c r="AG9" s="1" t="str">
        <f>"44109"</f>
        <v>44109</v>
      </c>
      <c r="AI9" s="1" t="str">
        <f>"44109"</f>
        <v>44109</v>
      </c>
    </row>
    <row r="10" spans="1:37" x14ac:dyDescent="0.25">
      <c r="A10" s="1" t="s">
        <v>37</v>
      </c>
      <c r="B10" s="3">
        <v>1345</v>
      </c>
      <c r="C10" s="3">
        <v>13240</v>
      </c>
      <c r="D10" s="1" t="s">
        <v>99</v>
      </c>
      <c r="E10" s="1" t="s">
        <v>100</v>
      </c>
      <c r="F10" s="1" t="s">
        <v>101</v>
      </c>
      <c r="G10" s="1" t="s">
        <v>101</v>
      </c>
      <c r="H10" s="2">
        <v>45219</v>
      </c>
      <c r="I10" s="1" t="s">
        <v>102</v>
      </c>
      <c r="J10" s="1" t="s">
        <v>103</v>
      </c>
      <c r="K10" s="1" t="s">
        <v>104</v>
      </c>
      <c r="M10" s="1" t="str">
        <f>"64000"</f>
        <v>64000</v>
      </c>
      <c r="N10" s="1" t="s">
        <v>105</v>
      </c>
      <c r="Q10" s="1" t="s">
        <v>106</v>
      </c>
      <c r="R10" s="1">
        <v>670</v>
      </c>
      <c r="S10" s="3">
        <v>1200</v>
      </c>
      <c r="T10" s="2">
        <v>45219</v>
      </c>
      <c r="U10" s="3">
        <v>4</v>
      </c>
      <c r="V10" s="3">
        <v>8</v>
      </c>
      <c r="W10" s="2">
        <v>26299</v>
      </c>
      <c r="X10" s="2">
        <v>40236</v>
      </c>
      <c r="Y10" s="2">
        <v>45219</v>
      </c>
      <c r="Z10" s="3">
        <v>50</v>
      </c>
      <c r="AA10" s="1" t="str">
        <f>"898264122"</f>
        <v>898264122</v>
      </c>
      <c r="AB10" s="1" t="str">
        <f>"00026"</f>
        <v>00026</v>
      </c>
      <c r="AC10" s="1" t="s">
        <v>107</v>
      </c>
      <c r="AI10" s="1" t="str">
        <f>"64445"</f>
        <v>64445</v>
      </c>
    </row>
    <row r="11" spans="1:37" x14ac:dyDescent="0.25">
      <c r="A11" s="1" t="s">
        <v>37</v>
      </c>
      <c r="B11" s="3">
        <v>461322</v>
      </c>
      <c r="C11" s="3">
        <v>3773</v>
      </c>
      <c r="D11" s="1" t="s">
        <v>102</v>
      </c>
      <c r="E11" s="1" t="s">
        <v>108</v>
      </c>
      <c r="F11" s="1" t="s">
        <v>102</v>
      </c>
      <c r="G11" s="1" t="s">
        <v>102</v>
      </c>
      <c r="H11" s="2">
        <v>45224</v>
      </c>
      <c r="I11" s="1" t="s">
        <v>109</v>
      </c>
      <c r="J11" s="1" t="s">
        <v>110</v>
      </c>
      <c r="K11" s="1" t="s">
        <v>111</v>
      </c>
      <c r="M11" s="1" t="str">
        <f>"77700"</f>
        <v>77700</v>
      </c>
      <c r="N11" s="1" t="s">
        <v>112</v>
      </c>
      <c r="Q11" s="1" t="s">
        <v>102</v>
      </c>
      <c r="R11" s="1">
        <v>998</v>
      </c>
      <c r="S11" s="3">
        <v>2000</v>
      </c>
      <c r="T11" s="2">
        <v>45224</v>
      </c>
      <c r="U11" s="3">
        <v>2</v>
      </c>
      <c r="V11" s="3">
        <v>34</v>
      </c>
      <c r="W11" s="2">
        <v>43800</v>
      </c>
      <c r="X11" s="2">
        <v>44501</v>
      </c>
      <c r="Y11" s="2">
        <v>45224</v>
      </c>
      <c r="AA11" s="1" t="str">
        <f>"343262622"</f>
        <v>343262622</v>
      </c>
      <c r="AB11" s="1" t="str">
        <f>""</f>
        <v/>
      </c>
      <c r="AC11" s="1" t="s">
        <v>107</v>
      </c>
      <c r="AG11" s="1" t="str">
        <f>"77711"</f>
        <v>77711</v>
      </c>
      <c r="AH11" s="1" t="s">
        <v>113</v>
      </c>
      <c r="AI11" s="1" t="str">
        <f>"77449"</f>
        <v>77449</v>
      </c>
    </row>
    <row r="12" spans="1:37" x14ac:dyDescent="0.25">
      <c r="A12" s="1" t="s">
        <v>37</v>
      </c>
      <c r="B12" s="3">
        <v>188404</v>
      </c>
      <c r="C12" s="3">
        <v>711</v>
      </c>
      <c r="D12" s="1" t="s">
        <v>114</v>
      </c>
      <c r="E12" s="1" t="s">
        <v>100</v>
      </c>
      <c r="F12" s="1" t="s">
        <v>115</v>
      </c>
      <c r="G12" s="1" t="s">
        <v>115</v>
      </c>
      <c r="H12" s="2">
        <v>45238</v>
      </c>
      <c r="I12" s="1" t="s">
        <v>116</v>
      </c>
      <c r="J12" s="1" t="s">
        <v>117</v>
      </c>
      <c r="K12" s="1" t="s">
        <v>118</v>
      </c>
      <c r="L12" s="1" t="s">
        <v>119</v>
      </c>
      <c r="M12" s="1" t="str">
        <f>"95310"</f>
        <v>95310</v>
      </c>
      <c r="N12" s="1" t="s">
        <v>120</v>
      </c>
      <c r="R12" s="1">
        <v>1392</v>
      </c>
      <c r="U12" s="3">
        <v>6</v>
      </c>
      <c r="V12" s="3">
        <v>15</v>
      </c>
      <c r="W12" s="2">
        <v>40793</v>
      </c>
      <c r="X12" s="2">
        <v>44741</v>
      </c>
      <c r="Y12" s="2">
        <v>45238</v>
      </c>
      <c r="Z12" s="3">
        <v>64</v>
      </c>
      <c r="AC12" s="1" t="s">
        <v>107</v>
      </c>
      <c r="AI12" s="1" t="str">
        <f>"95572"</f>
        <v>95572</v>
      </c>
    </row>
    <row r="13" spans="1:37" x14ac:dyDescent="0.25">
      <c r="A13" s="1" t="s">
        <v>37</v>
      </c>
      <c r="B13" s="3">
        <v>464499</v>
      </c>
      <c r="C13" s="3">
        <v>13290</v>
      </c>
      <c r="D13" s="1" t="s">
        <v>121</v>
      </c>
      <c r="E13" s="1" t="s">
        <v>92</v>
      </c>
      <c r="F13" s="1" t="s">
        <v>122</v>
      </c>
      <c r="G13" s="1" t="s">
        <v>122</v>
      </c>
      <c r="H13" s="2">
        <v>45241</v>
      </c>
      <c r="I13" s="1" t="s">
        <v>123</v>
      </c>
      <c r="J13" s="1" t="s">
        <v>124</v>
      </c>
      <c r="M13" s="1" t="str">
        <f>"93210"</f>
        <v>93210</v>
      </c>
      <c r="N13" s="1" t="s">
        <v>125</v>
      </c>
      <c r="O13" s="1" t="s">
        <v>126</v>
      </c>
      <c r="Q13" s="1" t="s">
        <v>127</v>
      </c>
      <c r="R13" s="1">
        <v>300</v>
      </c>
      <c r="U13" s="3">
        <v>2</v>
      </c>
      <c r="V13" s="3">
        <v>4</v>
      </c>
      <c r="W13" s="2">
        <v>43966</v>
      </c>
      <c r="X13" s="2">
        <v>45037</v>
      </c>
      <c r="Y13" s="2">
        <v>45241</v>
      </c>
      <c r="AA13" s="1" t="str">
        <f>"803331446"</f>
        <v>803331446</v>
      </c>
      <c r="AB13" s="1" t="str">
        <f>"00010"</f>
        <v>00010</v>
      </c>
      <c r="AC13" s="1" t="s">
        <v>128</v>
      </c>
      <c r="AI13" s="1" t="str">
        <f>"93066"</f>
        <v>93066</v>
      </c>
    </row>
    <row r="14" spans="1:37" x14ac:dyDescent="0.25">
      <c r="A14" s="1" t="s">
        <v>37</v>
      </c>
      <c r="B14" s="3">
        <v>182958</v>
      </c>
      <c r="C14" s="3">
        <v>197789</v>
      </c>
      <c r="D14" s="1" t="s">
        <v>129</v>
      </c>
      <c r="E14" s="1" t="s">
        <v>92</v>
      </c>
      <c r="F14" s="1" t="s">
        <v>130</v>
      </c>
      <c r="G14" s="1" t="s">
        <v>130</v>
      </c>
      <c r="H14" s="2">
        <v>45245</v>
      </c>
      <c r="I14" s="1" t="s">
        <v>131</v>
      </c>
      <c r="J14" s="1" t="s">
        <v>132</v>
      </c>
      <c r="M14" s="1" t="str">
        <f>"47300"</f>
        <v>47300</v>
      </c>
      <c r="N14" s="1" t="s">
        <v>133</v>
      </c>
      <c r="O14" s="1" t="s">
        <v>134</v>
      </c>
      <c r="Q14" s="1" t="s">
        <v>135</v>
      </c>
      <c r="R14" s="1">
        <v>100</v>
      </c>
      <c r="U14" s="3">
        <v>1</v>
      </c>
      <c r="V14" s="3">
        <v>2</v>
      </c>
      <c r="W14" s="2">
        <v>36708</v>
      </c>
      <c r="X14" s="2">
        <v>45079</v>
      </c>
      <c r="Y14" s="2">
        <v>45245</v>
      </c>
      <c r="AA14" s="1" t="str">
        <f>"880298062"</f>
        <v>880298062</v>
      </c>
      <c r="AB14" s="1" t="str">
        <f>"00014"</f>
        <v>00014</v>
      </c>
      <c r="AC14" s="1" t="s">
        <v>45</v>
      </c>
      <c r="AI14" s="1" t="str">
        <f>"47323"</f>
        <v>47323</v>
      </c>
    </row>
    <row r="15" spans="1:37" x14ac:dyDescent="0.25">
      <c r="A15" s="1" t="s">
        <v>37</v>
      </c>
      <c r="B15" s="3">
        <v>158076</v>
      </c>
      <c r="C15" s="3">
        <v>224889</v>
      </c>
      <c r="D15" s="1" t="s">
        <v>136</v>
      </c>
      <c r="E15" s="1" t="s">
        <v>137</v>
      </c>
      <c r="F15" s="1" t="s">
        <v>138</v>
      </c>
      <c r="G15" s="1" t="s">
        <v>138</v>
      </c>
      <c r="H15" s="2">
        <v>45247</v>
      </c>
      <c r="I15" s="1" t="s">
        <v>139</v>
      </c>
      <c r="J15" s="1" t="s">
        <v>140</v>
      </c>
      <c r="K15" s="1" t="s">
        <v>141</v>
      </c>
      <c r="M15" s="1" t="str">
        <f>"60110"</f>
        <v>60110</v>
      </c>
      <c r="N15" s="1" t="s">
        <v>142</v>
      </c>
      <c r="O15" s="1" t="s">
        <v>143</v>
      </c>
      <c r="Q15" s="1" t="s">
        <v>144</v>
      </c>
      <c r="R15" s="1">
        <v>200</v>
      </c>
      <c r="U15" s="3">
        <v>2</v>
      </c>
      <c r="V15" s="3">
        <v>4</v>
      </c>
      <c r="W15" s="2">
        <v>39128</v>
      </c>
      <c r="X15" s="2">
        <v>43449</v>
      </c>
      <c r="Y15" s="2">
        <v>45247</v>
      </c>
      <c r="AA15" s="1" t="str">
        <f>"979053584"</f>
        <v>979053584</v>
      </c>
      <c r="AB15" s="1" t="str">
        <f>"00012"</f>
        <v>00012</v>
      </c>
      <c r="AC15" s="1" t="s">
        <v>145</v>
      </c>
      <c r="AI15" s="1" t="str">
        <f>"60395"</f>
        <v>60395</v>
      </c>
    </row>
    <row r="16" spans="1:37" x14ac:dyDescent="0.25">
      <c r="A16" s="1" t="s">
        <v>37</v>
      </c>
      <c r="B16" s="3">
        <v>11871</v>
      </c>
      <c r="C16" s="3">
        <v>794</v>
      </c>
      <c r="D16" s="1" t="s">
        <v>146</v>
      </c>
      <c r="E16" s="1" t="s">
        <v>100</v>
      </c>
      <c r="F16" s="1" t="s">
        <v>101</v>
      </c>
      <c r="G16" s="1" t="s">
        <v>101</v>
      </c>
      <c r="H16" s="2">
        <v>45265</v>
      </c>
      <c r="I16" s="1" t="s">
        <v>147</v>
      </c>
      <c r="J16" s="1" t="s">
        <v>148</v>
      </c>
      <c r="M16" s="1" t="str">
        <f>"80300"</f>
        <v>80300</v>
      </c>
      <c r="N16" s="1" t="s">
        <v>149</v>
      </c>
      <c r="Q16" s="1" t="s">
        <v>150</v>
      </c>
      <c r="R16" s="1">
        <v>399</v>
      </c>
      <c r="S16" s="3">
        <v>664</v>
      </c>
      <c r="T16" s="2">
        <v>45265</v>
      </c>
      <c r="U16" s="3">
        <v>4</v>
      </c>
      <c r="V16" s="3">
        <v>15</v>
      </c>
      <c r="W16" s="2">
        <v>24838</v>
      </c>
      <c r="X16" s="2">
        <v>45036</v>
      </c>
      <c r="Y16" s="2">
        <v>45265</v>
      </c>
      <c r="AA16" s="1" t="str">
        <f>"841175086"</f>
        <v>841175086</v>
      </c>
      <c r="AB16" s="1" t="str">
        <f>"00047"</f>
        <v>00047</v>
      </c>
      <c r="AC16" s="1" t="s">
        <v>107</v>
      </c>
      <c r="AI16" s="1" t="str">
        <f>"80016"</f>
        <v>80016</v>
      </c>
    </row>
    <row r="17" spans="1:37" x14ac:dyDescent="0.25">
      <c r="A17" s="1" t="s">
        <v>37</v>
      </c>
      <c r="B17" s="3">
        <v>39603</v>
      </c>
      <c r="C17" s="3">
        <v>551</v>
      </c>
      <c r="D17" s="1" t="s">
        <v>151</v>
      </c>
      <c r="E17" s="1" t="s">
        <v>92</v>
      </c>
      <c r="F17" s="1" t="s">
        <v>101</v>
      </c>
      <c r="G17" s="1" t="s">
        <v>101</v>
      </c>
      <c r="H17" s="2">
        <v>45275</v>
      </c>
      <c r="I17" s="1" t="s">
        <v>152</v>
      </c>
      <c r="J17" s="1" t="s">
        <v>153</v>
      </c>
      <c r="M17" s="1" t="str">
        <f>"75014"</f>
        <v>75014</v>
      </c>
      <c r="N17" s="1" t="s">
        <v>154</v>
      </c>
      <c r="Q17" s="1" t="s">
        <v>155</v>
      </c>
      <c r="R17" s="1">
        <v>300</v>
      </c>
      <c r="S17" s="3">
        <v>250</v>
      </c>
      <c r="T17" s="2">
        <v>38854</v>
      </c>
      <c r="U17" s="3">
        <v>5</v>
      </c>
      <c r="V17" s="3">
        <v>12</v>
      </c>
      <c r="W17" s="2">
        <v>20821</v>
      </c>
      <c r="X17" s="2">
        <v>44593</v>
      </c>
      <c r="Y17" s="2">
        <v>45275</v>
      </c>
      <c r="AA17" s="1" t="str">
        <f>"981969009"</f>
        <v>981969009</v>
      </c>
      <c r="AB17" s="1" t="str">
        <f>"00019"</f>
        <v>00019</v>
      </c>
      <c r="AC17" s="1" t="s">
        <v>107</v>
      </c>
      <c r="AI17" s="1" t="str">
        <f>"75056"</f>
        <v>75056</v>
      </c>
    </row>
    <row r="18" spans="1:37" x14ac:dyDescent="0.25">
      <c r="A18" s="1" t="s">
        <v>37</v>
      </c>
      <c r="B18" s="3">
        <v>438292</v>
      </c>
      <c r="C18" s="3">
        <v>458889</v>
      </c>
      <c r="D18" s="1" t="s">
        <v>156</v>
      </c>
      <c r="E18" s="1" t="s">
        <v>157</v>
      </c>
      <c r="F18" s="1" t="s">
        <v>158</v>
      </c>
      <c r="G18" s="1" t="s">
        <v>158</v>
      </c>
      <c r="H18" s="2">
        <v>45275</v>
      </c>
      <c r="I18" s="1" t="s">
        <v>159</v>
      </c>
      <c r="J18" s="1" t="s">
        <v>160</v>
      </c>
      <c r="M18" s="1" t="str">
        <f>"09100"</f>
        <v>09100</v>
      </c>
      <c r="N18" s="1" t="s">
        <v>161</v>
      </c>
      <c r="Q18" s="1" t="s">
        <v>162</v>
      </c>
      <c r="R18" s="1">
        <v>400</v>
      </c>
      <c r="U18" s="3">
        <v>1</v>
      </c>
      <c r="V18" s="3">
        <v>4</v>
      </c>
      <c r="W18" s="2">
        <v>37112</v>
      </c>
      <c r="X18" s="2">
        <v>45000</v>
      </c>
      <c r="Y18" s="2">
        <v>45275</v>
      </c>
      <c r="AA18" s="1" t="str">
        <f>"980733224"</f>
        <v>980733224</v>
      </c>
      <c r="AB18" s="1" t="str">
        <f>"00029"</f>
        <v>00029</v>
      </c>
      <c r="AC18" s="1" t="s">
        <v>98</v>
      </c>
      <c r="AI18" s="1" t="str">
        <f>"09225"</f>
        <v>09225</v>
      </c>
    </row>
    <row r="19" spans="1:37" x14ac:dyDescent="0.25">
      <c r="A19" s="1" t="s">
        <v>37</v>
      </c>
      <c r="B19" s="3">
        <v>168982</v>
      </c>
      <c r="C19" s="3">
        <v>474211</v>
      </c>
      <c r="D19" s="1" t="s">
        <v>163</v>
      </c>
      <c r="E19" s="1" t="s">
        <v>100</v>
      </c>
      <c r="F19" s="1" t="s">
        <v>164</v>
      </c>
      <c r="G19" s="1" t="s">
        <v>164</v>
      </c>
      <c r="H19" s="2">
        <v>45294</v>
      </c>
      <c r="I19" s="1" t="s">
        <v>165</v>
      </c>
      <c r="J19" s="1" t="s">
        <v>166</v>
      </c>
      <c r="K19" s="1" t="s">
        <v>167</v>
      </c>
      <c r="M19" s="1" t="str">
        <f>"72700"</f>
        <v>72700</v>
      </c>
      <c r="N19" s="1" t="s">
        <v>168</v>
      </c>
      <c r="Q19" s="1" t="s">
        <v>169</v>
      </c>
      <c r="R19" s="1">
        <v>850</v>
      </c>
      <c r="S19" s="3">
        <v>720</v>
      </c>
      <c r="T19" s="2">
        <v>45294</v>
      </c>
      <c r="U19" s="3">
        <v>4</v>
      </c>
      <c r="V19" s="3">
        <v>13</v>
      </c>
      <c r="W19" s="2">
        <v>39316</v>
      </c>
      <c r="X19" s="2">
        <v>45068</v>
      </c>
      <c r="Y19" s="2">
        <v>45294</v>
      </c>
      <c r="AA19" s="1" t="str">
        <f>"839225687"</f>
        <v>839225687</v>
      </c>
      <c r="AB19" s="1" t="str">
        <f>"00012"</f>
        <v>00012</v>
      </c>
      <c r="AC19" s="1" t="s">
        <v>170</v>
      </c>
      <c r="AI19" s="1" t="str">
        <f>"72280"</f>
        <v>72280</v>
      </c>
    </row>
    <row r="20" spans="1:37" x14ac:dyDescent="0.25">
      <c r="A20" s="1" t="s">
        <v>37</v>
      </c>
      <c r="B20" s="3">
        <v>10976</v>
      </c>
      <c r="C20" s="3">
        <v>474210</v>
      </c>
      <c r="D20" s="1" t="s">
        <v>171</v>
      </c>
      <c r="E20" s="1" t="s">
        <v>100</v>
      </c>
      <c r="F20" s="1" t="s">
        <v>164</v>
      </c>
      <c r="G20" s="1" t="s">
        <v>164</v>
      </c>
      <c r="H20" s="2">
        <v>45295</v>
      </c>
      <c r="I20" s="1" t="s">
        <v>172</v>
      </c>
      <c r="J20" s="1" t="s">
        <v>173</v>
      </c>
      <c r="M20" s="1" t="str">
        <f>"59553"</f>
        <v>59553</v>
      </c>
      <c r="N20" s="1" t="s">
        <v>174</v>
      </c>
      <c r="O20" s="1" t="s">
        <v>175</v>
      </c>
      <c r="Q20" s="1" t="s">
        <v>176</v>
      </c>
      <c r="R20" s="1">
        <v>880</v>
      </c>
      <c r="S20" s="3">
        <v>728</v>
      </c>
      <c r="T20" s="2">
        <v>39995</v>
      </c>
      <c r="U20" s="3">
        <v>5</v>
      </c>
      <c r="V20" s="3">
        <v>9</v>
      </c>
      <c r="W20" s="2">
        <v>31778</v>
      </c>
      <c r="X20" s="2">
        <v>44944</v>
      </c>
      <c r="Y20" s="2">
        <v>45295</v>
      </c>
      <c r="Z20" s="3">
        <v>70</v>
      </c>
      <c r="AA20" s="1" t="str">
        <f>"750536328"</f>
        <v>750536328</v>
      </c>
      <c r="AB20" s="1" t="str">
        <f>"00040"</f>
        <v>00040</v>
      </c>
      <c r="AC20" s="1" t="s">
        <v>107</v>
      </c>
      <c r="AI20" s="1" t="str">
        <f>"59165"</f>
        <v>59165</v>
      </c>
      <c r="AK20" s="3">
        <v>2</v>
      </c>
    </row>
    <row r="21" spans="1:37" x14ac:dyDescent="0.25">
      <c r="A21" s="1" t="s">
        <v>37</v>
      </c>
      <c r="B21" s="3">
        <v>45067</v>
      </c>
      <c r="C21" s="3">
        <v>455543</v>
      </c>
      <c r="D21" s="1" t="s">
        <v>177</v>
      </c>
      <c r="E21" s="1" t="s">
        <v>39</v>
      </c>
      <c r="F21" s="1" t="s">
        <v>177</v>
      </c>
      <c r="G21" s="1" t="s">
        <v>177</v>
      </c>
      <c r="H21" s="2">
        <v>45303</v>
      </c>
      <c r="I21" s="1" t="s">
        <v>178</v>
      </c>
      <c r="J21" s="1" t="s">
        <v>179</v>
      </c>
      <c r="K21" s="1" t="s">
        <v>180</v>
      </c>
      <c r="M21" s="1" t="str">
        <f>"35760"</f>
        <v>35760</v>
      </c>
      <c r="N21" s="1" t="s">
        <v>181</v>
      </c>
      <c r="O21" s="1" t="s">
        <v>182</v>
      </c>
      <c r="Q21" s="1" t="s">
        <v>177</v>
      </c>
      <c r="R21" s="1">
        <v>166</v>
      </c>
      <c r="U21" s="3">
        <v>2</v>
      </c>
      <c r="V21" s="3">
        <v>11</v>
      </c>
      <c r="W21" s="2">
        <v>36161</v>
      </c>
      <c r="X21" s="2">
        <v>45211</v>
      </c>
      <c r="Y21" s="2">
        <v>45303</v>
      </c>
      <c r="AA21" s="1" t="str">
        <f>"444600464"</f>
        <v>444600464</v>
      </c>
      <c r="AB21" s="1" t="str">
        <f>"02479"</f>
        <v>02479</v>
      </c>
      <c r="AC21" s="1" t="s">
        <v>49</v>
      </c>
      <c r="AI21" s="1" t="str">
        <f>"35278"</f>
        <v>35278</v>
      </c>
    </row>
    <row r="22" spans="1:37" x14ac:dyDescent="0.25">
      <c r="A22" s="1" t="s">
        <v>37</v>
      </c>
      <c r="B22" s="3">
        <v>396638</v>
      </c>
      <c r="C22" s="3">
        <v>234346</v>
      </c>
      <c r="D22" s="1" t="s">
        <v>183</v>
      </c>
      <c r="E22" s="1" t="s">
        <v>184</v>
      </c>
      <c r="F22" s="1" t="s">
        <v>185</v>
      </c>
      <c r="G22" s="1" t="s">
        <v>185</v>
      </c>
      <c r="H22" s="2">
        <v>45306</v>
      </c>
      <c r="I22" s="1" t="s">
        <v>186</v>
      </c>
      <c r="J22" s="1" t="s">
        <v>187</v>
      </c>
      <c r="K22" s="1" t="s">
        <v>188</v>
      </c>
      <c r="M22" s="1" t="str">
        <f>"44800"</f>
        <v>44800</v>
      </c>
      <c r="N22" s="1" t="s">
        <v>189</v>
      </c>
      <c r="O22" s="1" t="s">
        <v>190</v>
      </c>
      <c r="Q22" s="1" t="s">
        <v>191</v>
      </c>
      <c r="R22" s="1">
        <v>45</v>
      </c>
      <c r="U22" s="3">
        <v>1</v>
      </c>
      <c r="V22" s="3">
        <v>3</v>
      </c>
      <c r="W22" s="2">
        <v>41792</v>
      </c>
      <c r="X22" s="2">
        <v>44882</v>
      </c>
      <c r="Y22" s="2">
        <v>45306</v>
      </c>
      <c r="AA22" s="1" t="str">
        <f>"379587900"</f>
        <v>379587900</v>
      </c>
      <c r="AB22" s="1" t="str">
        <f>"03822"</f>
        <v>03822</v>
      </c>
      <c r="AC22" s="1" t="s">
        <v>192</v>
      </c>
      <c r="AI22" s="1" t="str">
        <f>"44162"</f>
        <v>44162</v>
      </c>
    </row>
    <row r="23" spans="1:37" x14ac:dyDescent="0.25">
      <c r="A23" s="1" t="s">
        <v>37</v>
      </c>
      <c r="B23" s="3">
        <v>425144</v>
      </c>
      <c r="C23" s="3">
        <v>148834</v>
      </c>
      <c r="D23" s="1" t="s">
        <v>193</v>
      </c>
      <c r="E23" s="1" t="s">
        <v>194</v>
      </c>
      <c r="F23" s="1" t="s">
        <v>195</v>
      </c>
      <c r="G23" s="1" t="s">
        <v>195</v>
      </c>
      <c r="H23" s="2">
        <v>45306</v>
      </c>
      <c r="I23" s="1" t="s">
        <v>196</v>
      </c>
      <c r="J23" s="1" t="s">
        <v>197</v>
      </c>
      <c r="M23" s="1" t="str">
        <f>"44500"</f>
        <v>44500</v>
      </c>
      <c r="N23" s="1" t="s">
        <v>198</v>
      </c>
      <c r="O23" s="1" t="s">
        <v>199</v>
      </c>
      <c r="Q23" s="1" t="s">
        <v>200</v>
      </c>
      <c r="R23" s="1">
        <v>32</v>
      </c>
      <c r="U23" s="3">
        <v>1</v>
      </c>
      <c r="V23" s="3">
        <v>2</v>
      </c>
      <c r="W23" s="2">
        <v>42777</v>
      </c>
      <c r="X23" s="2">
        <v>44986</v>
      </c>
      <c r="Y23" s="2">
        <v>45306</v>
      </c>
      <c r="AA23" s="1" t="str">
        <f>"817980097"</f>
        <v>817980097</v>
      </c>
      <c r="AB23" s="1" t="str">
        <f>"00031"</f>
        <v>00031</v>
      </c>
      <c r="AC23" s="1" t="s">
        <v>49</v>
      </c>
      <c r="AI23" s="1" t="str">
        <f>"44055"</f>
        <v>44055</v>
      </c>
    </row>
    <row r="24" spans="1:37" x14ac:dyDescent="0.25">
      <c r="A24" s="1" t="s">
        <v>37</v>
      </c>
      <c r="B24" s="3">
        <v>224200</v>
      </c>
      <c r="C24" s="3">
        <v>455543</v>
      </c>
      <c r="D24" s="1" t="s">
        <v>177</v>
      </c>
      <c r="E24" s="1" t="s">
        <v>39</v>
      </c>
      <c r="F24" s="1" t="s">
        <v>177</v>
      </c>
      <c r="G24" s="1" t="s">
        <v>177</v>
      </c>
      <c r="H24" s="2">
        <v>45306</v>
      </c>
      <c r="I24" s="1" t="s">
        <v>201</v>
      </c>
      <c r="J24" s="1" t="s">
        <v>202</v>
      </c>
      <c r="M24" s="1" t="str">
        <f>"50100"</f>
        <v>50100</v>
      </c>
      <c r="N24" s="1" t="s">
        <v>203</v>
      </c>
      <c r="R24" s="1">
        <v>100</v>
      </c>
      <c r="U24" s="3">
        <v>1</v>
      </c>
      <c r="V24" s="3">
        <v>2</v>
      </c>
      <c r="W24" s="2">
        <v>33848</v>
      </c>
      <c r="X24" s="2">
        <v>45110</v>
      </c>
      <c r="Y24" s="2">
        <v>45306</v>
      </c>
      <c r="AC24" s="1" t="s">
        <v>49</v>
      </c>
      <c r="AI24" s="1" t="str">
        <f>"50129"</f>
        <v>50129</v>
      </c>
    </row>
    <row r="25" spans="1:37" x14ac:dyDescent="0.25">
      <c r="A25" s="1" t="s">
        <v>37</v>
      </c>
      <c r="B25" s="3">
        <v>126550</v>
      </c>
      <c r="C25" s="3">
        <v>455543</v>
      </c>
      <c r="D25" s="1" t="s">
        <v>177</v>
      </c>
      <c r="E25" s="1" t="s">
        <v>39</v>
      </c>
      <c r="F25" s="1" t="s">
        <v>177</v>
      </c>
      <c r="G25" s="1" t="s">
        <v>177</v>
      </c>
      <c r="H25" s="2">
        <v>45306</v>
      </c>
      <c r="I25" s="1" t="s">
        <v>178</v>
      </c>
      <c r="J25" s="1" t="s">
        <v>204</v>
      </c>
      <c r="M25" s="1" t="str">
        <f>"75009"</f>
        <v>75009</v>
      </c>
      <c r="N25" s="1" t="s">
        <v>154</v>
      </c>
      <c r="O25" s="1" t="s">
        <v>205</v>
      </c>
      <c r="Q25" s="1" t="s">
        <v>206</v>
      </c>
      <c r="R25" s="1">
        <v>220</v>
      </c>
      <c r="U25" s="3">
        <v>3</v>
      </c>
      <c r="V25" s="3">
        <v>5</v>
      </c>
      <c r="W25" s="2">
        <v>38354</v>
      </c>
      <c r="X25" s="2">
        <v>45211</v>
      </c>
      <c r="Y25" s="2">
        <v>45306</v>
      </c>
      <c r="AA25" s="1" t="str">
        <f>"478355753"</f>
        <v>478355753</v>
      </c>
      <c r="AB25" s="1" t="str">
        <f>"00037"</f>
        <v>00037</v>
      </c>
      <c r="AC25" s="1" t="s">
        <v>49</v>
      </c>
      <c r="AI25" s="1" t="str">
        <f>"75056"</f>
        <v>75056</v>
      </c>
    </row>
    <row r="26" spans="1:37" x14ac:dyDescent="0.25">
      <c r="A26" s="1" t="s">
        <v>37</v>
      </c>
      <c r="B26" s="3">
        <v>439038</v>
      </c>
      <c r="C26" s="3">
        <v>164073</v>
      </c>
      <c r="D26" s="1" t="s">
        <v>207</v>
      </c>
      <c r="E26" s="1" t="s">
        <v>39</v>
      </c>
      <c r="F26" s="1" t="s">
        <v>207</v>
      </c>
      <c r="G26" s="1" t="s">
        <v>207</v>
      </c>
      <c r="H26" s="2">
        <v>45306</v>
      </c>
      <c r="I26" s="1" t="s">
        <v>208</v>
      </c>
      <c r="J26" s="1" t="s">
        <v>209</v>
      </c>
      <c r="K26" s="1" t="s">
        <v>210</v>
      </c>
      <c r="L26" s="1" t="s">
        <v>211</v>
      </c>
      <c r="M26" s="1" t="str">
        <f>"39100"</f>
        <v>39100</v>
      </c>
      <c r="N26" s="1" t="s">
        <v>212</v>
      </c>
      <c r="O26" s="1" t="s">
        <v>213</v>
      </c>
      <c r="Q26" s="1" t="s">
        <v>214</v>
      </c>
      <c r="R26" s="1">
        <v>200</v>
      </c>
      <c r="U26" s="3">
        <v>2</v>
      </c>
      <c r="V26" s="3">
        <v>4</v>
      </c>
      <c r="W26" s="2">
        <v>43064</v>
      </c>
      <c r="X26" s="2">
        <v>45211</v>
      </c>
      <c r="Y26" s="2">
        <v>45306</v>
      </c>
      <c r="AA26" s="1" t="str">
        <f>"809107915"</f>
        <v>809107915</v>
      </c>
      <c r="AB26" s="1" t="str">
        <f>"00021"</f>
        <v>00021</v>
      </c>
      <c r="AC26" s="1" t="s">
        <v>49</v>
      </c>
      <c r="AI26" s="1" t="str">
        <f>"39198"</f>
        <v>39198</v>
      </c>
    </row>
    <row r="27" spans="1:37" x14ac:dyDescent="0.25">
      <c r="A27" s="1" t="s">
        <v>37</v>
      </c>
      <c r="B27" s="3">
        <v>159958</v>
      </c>
      <c r="C27" s="3">
        <v>455543</v>
      </c>
      <c r="D27" s="1" t="s">
        <v>177</v>
      </c>
      <c r="E27" s="1" t="s">
        <v>39</v>
      </c>
      <c r="F27" s="1" t="s">
        <v>177</v>
      </c>
      <c r="G27" s="1" t="s">
        <v>177</v>
      </c>
      <c r="H27" s="2">
        <v>45309</v>
      </c>
      <c r="I27" s="1" t="s">
        <v>215</v>
      </c>
      <c r="J27" s="1" t="s">
        <v>216</v>
      </c>
      <c r="M27" s="1" t="str">
        <f>"42300"</f>
        <v>42300</v>
      </c>
      <c r="N27" s="1" t="s">
        <v>217</v>
      </c>
      <c r="O27" s="1" t="s">
        <v>218</v>
      </c>
      <c r="Q27" s="1" t="s">
        <v>219</v>
      </c>
      <c r="R27" s="1">
        <v>96</v>
      </c>
      <c r="U27" s="3">
        <v>1</v>
      </c>
      <c r="V27" s="3">
        <v>2</v>
      </c>
      <c r="W27" s="2">
        <v>39052</v>
      </c>
      <c r="X27" s="2">
        <v>45217</v>
      </c>
      <c r="Y27" s="2">
        <v>45309</v>
      </c>
      <c r="AA27" s="1" t="str">
        <f>"492092242"</f>
        <v>492092242</v>
      </c>
      <c r="AB27" s="1" t="str">
        <f>"00022"</f>
        <v>00022</v>
      </c>
      <c r="AC27" s="1" t="s">
        <v>49</v>
      </c>
      <c r="AI27" s="1" t="str">
        <f>"42187"</f>
        <v>42187</v>
      </c>
    </row>
    <row r="28" spans="1:37" x14ac:dyDescent="0.25">
      <c r="A28" s="1" t="s">
        <v>37</v>
      </c>
      <c r="B28" s="3">
        <v>10951</v>
      </c>
      <c r="C28" s="3">
        <v>474211</v>
      </c>
      <c r="D28" s="1" t="s">
        <v>163</v>
      </c>
      <c r="E28" s="1" t="s">
        <v>92</v>
      </c>
      <c r="F28" s="1" t="s">
        <v>165</v>
      </c>
      <c r="G28" s="1" t="s">
        <v>165</v>
      </c>
      <c r="H28" s="2">
        <v>45311</v>
      </c>
      <c r="I28" s="1" t="s">
        <v>220</v>
      </c>
      <c r="J28" s="1" t="s">
        <v>221</v>
      </c>
      <c r="M28" s="1" t="str">
        <f>"45110"</f>
        <v>45110</v>
      </c>
      <c r="N28" s="1" t="s">
        <v>222</v>
      </c>
      <c r="Q28" s="1" t="s">
        <v>223</v>
      </c>
      <c r="R28" s="1">
        <v>280</v>
      </c>
      <c r="S28" s="3">
        <v>870</v>
      </c>
      <c r="T28" s="2">
        <v>45311</v>
      </c>
      <c r="U28" s="3">
        <v>1</v>
      </c>
      <c r="V28" s="3">
        <v>2</v>
      </c>
      <c r="W28" s="2">
        <v>27030</v>
      </c>
      <c r="X28" s="2">
        <v>40908</v>
      </c>
      <c r="Y28" s="2">
        <v>45311</v>
      </c>
      <c r="Z28" s="3">
        <v>60</v>
      </c>
      <c r="AA28" s="1" t="str">
        <f>"382836963"</f>
        <v>382836963</v>
      </c>
      <c r="AB28" s="1" t="str">
        <f>""</f>
        <v/>
      </c>
      <c r="AC28" s="1" t="s">
        <v>107</v>
      </c>
      <c r="AI28" s="1" t="str">
        <f>"45082"</f>
        <v>45082</v>
      </c>
    </row>
    <row r="29" spans="1:37" x14ac:dyDescent="0.25">
      <c r="A29" s="1" t="s">
        <v>37</v>
      </c>
      <c r="B29" s="3">
        <v>134421</v>
      </c>
      <c r="C29" s="3">
        <v>152889</v>
      </c>
      <c r="D29" s="1" t="s">
        <v>224</v>
      </c>
      <c r="E29" s="1" t="s">
        <v>39</v>
      </c>
      <c r="F29" s="1" t="s">
        <v>225</v>
      </c>
      <c r="G29" s="1" t="s">
        <v>225</v>
      </c>
      <c r="H29" s="2">
        <v>45320</v>
      </c>
      <c r="I29" s="1" t="s">
        <v>226</v>
      </c>
      <c r="J29" s="1" t="s">
        <v>227</v>
      </c>
      <c r="K29" s="1" t="s">
        <v>228</v>
      </c>
      <c r="M29" s="1" t="str">
        <f>"56000"</f>
        <v>56000</v>
      </c>
      <c r="N29" s="1" t="s">
        <v>229</v>
      </c>
      <c r="O29" s="1" t="s">
        <v>230</v>
      </c>
      <c r="Q29" s="1" t="s">
        <v>224</v>
      </c>
      <c r="R29" s="1">
        <v>55</v>
      </c>
      <c r="U29" s="3">
        <v>1</v>
      </c>
      <c r="V29" s="3">
        <v>3</v>
      </c>
      <c r="W29" s="2">
        <v>34759</v>
      </c>
      <c r="X29" s="2">
        <v>45208</v>
      </c>
      <c r="Y29" s="2">
        <v>45320</v>
      </c>
      <c r="AA29" s="1" t="str">
        <f>"309706992"</f>
        <v>309706992</v>
      </c>
      <c r="AB29" s="1" t="str">
        <f>"01347"</f>
        <v>01347</v>
      </c>
      <c r="AC29" s="1" t="s">
        <v>49</v>
      </c>
      <c r="AI29" s="1" t="str">
        <f>"56260"</f>
        <v>56260</v>
      </c>
    </row>
    <row r="30" spans="1:37" x14ac:dyDescent="0.25">
      <c r="A30" s="1" t="s">
        <v>37</v>
      </c>
      <c r="B30" s="3">
        <v>128354</v>
      </c>
      <c r="C30" s="3">
        <v>231342</v>
      </c>
      <c r="D30" s="1" t="s">
        <v>231</v>
      </c>
      <c r="E30" s="1" t="s">
        <v>61</v>
      </c>
      <c r="F30" s="1" t="s">
        <v>232</v>
      </c>
      <c r="G30" s="1" t="s">
        <v>232</v>
      </c>
      <c r="H30" s="2">
        <v>45323</v>
      </c>
      <c r="I30" s="1" t="s">
        <v>233</v>
      </c>
      <c r="J30" s="1" t="s">
        <v>234</v>
      </c>
      <c r="K30" s="1" t="s">
        <v>235</v>
      </c>
      <c r="M30" s="1" t="str">
        <f>"95610"</f>
        <v>95610</v>
      </c>
      <c r="N30" s="1" t="s">
        <v>236</v>
      </c>
      <c r="Q30" s="1" t="s">
        <v>231</v>
      </c>
      <c r="R30" s="1">
        <v>1000</v>
      </c>
      <c r="S30" s="3">
        <v>3011</v>
      </c>
      <c r="T30" s="2">
        <v>45323</v>
      </c>
      <c r="U30" s="3">
        <v>5</v>
      </c>
      <c r="V30" s="3">
        <v>25</v>
      </c>
      <c r="W30" s="2">
        <v>33523</v>
      </c>
      <c r="X30" s="2">
        <v>44757</v>
      </c>
      <c r="Y30" s="2">
        <v>45323</v>
      </c>
      <c r="AA30" s="1" t="str">
        <f>"753308238"</f>
        <v>753308238</v>
      </c>
      <c r="AB30" s="1" t="str">
        <f>"08598"</f>
        <v>08598</v>
      </c>
      <c r="AC30" s="1" t="s">
        <v>237</v>
      </c>
      <c r="AI30" s="1" t="str">
        <f>"95218"</f>
        <v>95218</v>
      </c>
    </row>
    <row r="31" spans="1:37" x14ac:dyDescent="0.25">
      <c r="A31" s="1" t="s">
        <v>37</v>
      </c>
      <c r="B31" s="3">
        <v>20419</v>
      </c>
      <c r="C31" s="3">
        <v>219616</v>
      </c>
      <c r="D31" s="1" t="s">
        <v>276</v>
      </c>
      <c r="E31" s="1" t="s">
        <v>277</v>
      </c>
      <c r="F31" s="1" t="s">
        <v>278</v>
      </c>
      <c r="G31" s="1" t="s">
        <v>278</v>
      </c>
      <c r="H31" s="2">
        <v>45138</v>
      </c>
      <c r="I31" s="1" t="s">
        <v>279</v>
      </c>
      <c r="J31" s="1" t="s">
        <v>280</v>
      </c>
      <c r="K31" s="1" t="s">
        <v>281</v>
      </c>
      <c r="M31" s="1" t="str">
        <f>"95570"</f>
        <v>95570</v>
      </c>
      <c r="N31" s="1" t="s">
        <v>282</v>
      </c>
      <c r="O31" s="1" t="s">
        <v>283</v>
      </c>
      <c r="Q31" s="1" t="s">
        <v>284</v>
      </c>
      <c r="R31" s="1">
        <v>6039</v>
      </c>
      <c r="S31" s="3">
        <v>2515</v>
      </c>
      <c r="T31" s="2">
        <v>38353</v>
      </c>
      <c r="U31" s="3">
        <v>2</v>
      </c>
      <c r="V31" s="3">
        <v>13</v>
      </c>
      <c r="W31" s="2">
        <v>32767</v>
      </c>
      <c r="Z31" s="3">
        <v>170</v>
      </c>
      <c r="AA31" s="1" t="str">
        <f>"341633725"</f>
        <v>341633725</v>
      </c>
      <c r="AB31" s="1" t="str">
        <f>"01102"</f>
        <v>01102</v>
      </c>
      <c r="AC31" s="1" t="s">
        <v>285</v>
      </c>
      <c r="AD31" s="1">
        <v>4841</v>
      </c>
      <c r="AE31" s="1">
        <v>1198</v>
      </c>
      <c r="AI31" s="1" t="str">
        <f>"95660"</f>
        <v>95660</v>
      </c>
    </row>
    <row r="32" spans="1:37" x14ac:dyDescent="0.25">
      <c r="A32" s="1" t="s">
        <v>37</v>
      </c>
      <c r="B32" s="3">
        <v>425071</v>
      </c>
      <c r="C32" s="3">
        <v>220285</v>
      </c>
      <c r="D32" s="1" t="s">
        <v>38</v>
      </c>
      <c r="E32" s="1" t="s">
        <v>39</v>
      </c>
      <c r="F32" s="1" t="s">
        <v>38</v>
      </c>
      <c r="G32" s="1" t="s">
        <v>38</v>
      </c>
      <c r="H32" s="2">
        <v>45301</v>
      </c>
      <c r="I32" s="1" t="s">
        <v>40</v>
      </c>
      <c r="J32" s="1" t="s">
        <v>309</v>
      </c>
      <c r="M32" s="1" t="str">
        <f>"92300"</f>
        <v>92300</v>
      </c>
      <c r="N32" s="1" t="s">
        <v>310</v>
      </c>
      <c r="O32" s="1" t="s">
        <v>311</v>
      </c>
      <c r="Q32" s="1" t="s">
        <v>38</v>
      </c>
      <c r="R32" s="1">
        <v>110</v>
      </c>
      <c r="U32" s="3">
        <v>1</v>
      </c>
      <c r="V32" s="3">
        <v>2</v>
      </c>
      <c r="W32" s="2">
        <v>42738</v>
      </c>
      <c r="AA32" s="1" t="str">
        <f>"378486096"</f>
        <v>378486096</v>
      </c>
      <c r="AB32" s="1" t="str">
        <f>"00357"</f>
        <v>00357</v>
      </c>
      <c r="AC32" s="1" t="s">
        <v>49</v>
      </c>
      <c r="AI32" s="1" t="str">
        <f>"92044"</f>
        <v>92044</v>
      </c>
    </row>
    <row r="33" spans="1:37" x14ac:dyDescent="0.25">
      <c r="A33" s="1" t="s">
        <v>37</v>
      </c>
      <c r="B33" s="3">
        <v>225405</v>
      </c>
      <c r="C33" s="3">
        <v>220285</v>
      </c>
      <c r="D33" s="1" t="s">
        <v>38</v>
      </c>
      <c r="E33" s="1" t="s">
        <v>39</v>
      </c>
      <c r="F33" s="1" t="s">
        <v>38</v>
      </c>
      <c r="G33" s="1" t="s">
        <v>38</v>
      </c>
      <c r="H33" s="2">
        <v>45301</v>
      </c>
      <c r="I33" s="1" t="s">
        <v>40</v>
      </c>
      <c r="J33" s="1" t="s">
        <v>302</v>
      </c>
      <c r="K33" s="1" t="s">
        <v>303</v>
      </c>
      <c r="L33" s="1" t="s">
        <v>304</v>
      </c>
      <c r="M33" s="1" t="str">
        <f>"92800"</f>
        <v>92800</v>
      </c>
      <c r="N33" s="1" t="s">
        <v>305</v>
      </c>
      <c r="O33" s="1" t="s">
        <v>306</v>
      </c>
      <c r="Q33" s="1" t="s">
        <v>38</v>
      </c>
      <c r="R33" s="1">
        <v>150</v>
      </c>
      <c r="U33" s="3">
        <v>2</v>
      </c>
      <c r="V33" s="3">
        <v>5</v>
      </c>
      <c r="W33" s="2">
        <v>41761</v>
      </c>
      <c r="AA33" s="1" t="str">
        <f>"378486096"</f>
        <v>378486096</v>
      </c>
      <c r="AB33" s="1" t="str">
        <f>"00274"</f>
        <v>00274</v>
      </c>
      <c r="AC33" s="1" t="s">
        <v>49</v>
      </c>
      <c r="AF33" s="1" t="s">
        <v>307</v>
      </c>
      <c r="AG33" s="1" t="str">
        <f>"92092"</f>
        <v>92092</v>
      </c>
      <c r="AH33" s="1" t="s">
        <v>308</v>
      </c>
      <c r="AI33" s="1" t="str">
        <f>"92062"</f>
        <v>92062</v>
      </c>
    </row>
    <row r="34" spans="1:37" x14ac:dyDescent="0.25">
      <c r="A34" s="1" t="s">
        <v>37</v>
      </c>
      <c r="B34" s="3">
        <v>227097</v>
      </c>
      <c r="C34" s="3">
        <v>220285</v>
      </c>
      <c r="D34" s="1" t="s">
        <v>38</v>
      </c>
      <c r="E34" s="1" t="s">
        <v>39</v>
      </c>
      <c r="F34" s="1" t="s">
        <v>38</v>
      </c>
      <c r="G34" s="1" t="s">
        <v>38</v>
      </c>
      <c r="H34" s="2">
        <v>45301</v>
      </c>
      <c r="I34" s="1" t="s">
        <v>40</v>
      </c>
      <c r="J34" s="1" t="s">
        <v>312</v>
      </c>
      <c r="K34" s="1" t="s">
        <v>313</v>
      </c>
      <c r="M34" s="1" t="str">
        <f>"91100"</f>
        <v>91100</v>
      </c>
      <c r="N34" s="1" t="s">
        <v>314</v>
      </c>
      <c r="O34" s="1" t="s">
        <v>315</v>
      </c>
      <c r="Q34" s="1" t="s">
        <v>38</v>
      </c>
      <c r="R34" s="1">
        <v>120</v>
      </c>
      <c r="U34" s="3">
        <v>2</v>
      </c>
      <c r="V34" s="3">
        <v>5</v>
      </c>
      <c r="W34" s="2">
        <v>39744</v>
      </c>
      <c r="AA34" s="1" t="str">
        <f>"378486096"</f>
        <v>378486096</v>
      </c>
      <c r="AB34" s="1" t="str">
        <f>"00209"</f>
        <v>00209</v>
      </c>
      <c r="AC34" s="1" t="s">
        <v>49</v>
      </c>
      <c r="AI34" s="1" t="str">
        <f>"91174"</f>
        <v>91174</v>
      </c>
    </row>
    <row r="35" spans="1:37" x14ac:dyDescent="0.25">
      <c r="A35" s="1" t="s">
        <v>37</v>
      </c>
      <c r="B35" s="3">
        <v>516441</v>
      </c>
      <c r="C35" s="3">
        <v>515</v>
      </c>
      <c r="D35" s="1" t="s">
        <v>351</v>
      </c>
      <c r="E35" s="1" t="s">
        <v>100</v>
      </c>
      <c r="F35" s="1" t="s">
        <v>352</v>
      </c>
      <c r="G35" s="1" t="s">
        <v>352</v>
      </c>
      <c r="J35" s="1" t="s">
        <v>353</v>
      </c>
      <c r="M35" s="1" t="str">
        <f>"91330"</f>
        <v>91330</v>
      </c>
      <c r="N35" s="1" t="s">
        <v>354</v>
      </c>
      <c r="O35" s="1" t="s">
        <v>355</v>
      </c>
      <c r="R35" s="1">
        <v>2300</v>
      </c>
      <c r="U35" s="3">
        <v>5</v>
      </c>
      <c r="V35" s="3">
        <v>25</v>
      </c>
      <c r="W35" s="2">
        <v>45315</v>
      </c>
      <c r="AC35" s="1" t="s">
        <v>107</v>
      </c>
      <c r="AI35" s="1" t="str">
        <f>"91691"</f>
        <v>91691</v>
      </c>
    </row>
    <row r="36" spans="1:37" x14ac:dyDescent="0.25">
      <c r="A36" s="1" t="s">
        <v>37</v>
      </c>
      <c r="B36" s="3">
        <v>516411</v>
      </c>
      <c r="C36" s="3">
        <v>143734</v>
      </c>
      <c r="D36" s="1" t="s">
        <v>356</v>
      </c>
      <c r="E36" s="1" t="s">
        <v>357</v>
      </c>
      <c r="F36" s="1" t="s">
        <v>358</v>
      </c>
      <c r="G36" s="1" t="s">
        <v>358</v>
      </c>
      <c r="J36" s="1" t="s">
        <v>359</v>
      </c>
      <c r="M36" s="1" t="s">
        <v>360</v>
      </c>
      <c r="N36" s="1" t="s">
        <v>361</v>
      </c>
      <c r="O36" s="1" t="s">
        <v>362</v>
      </c>
      <c r="Q36" s="1" t="s">
        <v>363</v>
      </c>
      <c r="R36" s="1">
        <v>70</v>
      </c>
      <c r="U36" s="3">
        <v>1</v>
      </c>
      <c r="V36" s="3">
        <v>2</v>
      </c>
      <c r="W36" s="2">
        <v>45294</v>
      </c>
      <c r="AA36" s="1" t="s">
        <v>364</v>
      </c>
      <c r="AB36" s="1" t="s">
        <v>365</v>
      </c>
      <c r="AC36" s="1" t="s">
        <v>366</v>
      </c>
      <c r="AI36" s="1" t="s">
        <v>367</v>
      </c>
    </row>
    <row r="37" spans="1:37" x14ac:dyDescent="0.25">
      <c r="A37" s="1" t="s">
        <v>37</v>
      </c>
      <c r="B37" s="3">
        <v>411143</v>
      </c>
      <c r="C37" s="3">
        <v>474247</v>
      </c>
      <c r="D37" s="1" t="s">
        <v>238</v>
      </c>
      <c r="E37" s="1" t="s">
        <v>239</v>
      </c>
      <c r="F37" s="1" t="s">
        <v>240</v>
      </c>
      <c r="G37" s="1" t="s">
        <v>240</v>
      </c>
      <c r="H37" s="2">
        <v>45217</v>
      </c>
      <c r="I37" s="1" t="s">
        <v>241</v>
      </c>
      <c r="J37" s="1" t="s">
        <v>242</v>
      </c>
      <c r="K37" s="1" t="s">
        <v>243</v>
      </c>
      <c r="M37" s="1" t="str">
        <f>"44410"</f>
        <v>44410</v>
      </c>
      <c r="N37" s="1" t="s">
        <v>244</v>
      </c>
      <c r="O37" s="1" t="s">
        <v>245</v>
      </c>
      <c r="Q37" s="1" t="s">
        <v>246</v>
      </c>
      <c r="U37" s="3">
        <v>2</v>
      </c>
      <c r="V37" s="3">
        <v>2</v>
      </c>
      <c r="W37" s="2">
        <v>42437</v>
      </c>
      <c r="AA37" s="1" t="str">
        <f>"954073888"</f>
        <v>954073888</v>
      </c>
      <c r="AB37" s="1" t="str">
        <f>"00024"</f>
        <v>00024</v>
      </c>
      <c r="AC37" s="1" t="s">
        <v>107</v>
      </c>
      <c r="AE37" s="1">
        <v>177452</v>
      </c>
      <c r="AI37" s="1" t="str">
        <f>"44030"</f>
        <v>44030</v>
      </c>
      <c r="AK37" s="3">
        <v>2</v>
      </c>
    </row>
    <row r="38" spans="1:37" x14ac:dyDescent="0.25">
      <c r="A38" s="1" t="s">
        <v>37</v>
      </c>
      <c r="B38" s="3">
        <v>182582</v>
      </c>
      <c r="C38" s="3">
        <v>197789</v>
      </c>
      <c r="D38" s="1" t="s">
        <v>129</v>
      </c>
      <c r="E38" s="1" t="s">
        <v>92</v>
      </c>
      <c r="F38" s="1" t="s">
        <v>130</v>
      </c>
      <c r="G38" s="1" t="s">
        <v>130</v>
      </c>
      <c r="H38" s="2">
        <v>45265</v>
      </c>
      <c r="I38" s="1" t="s">
        <v>131</v>
      </c>
      <c r="J38" s="1" t="s">
        <v>316</v>
      </c>
      <c r="M38" s="1" t="str">
        <f>"18140"</f>
        <v>18140</v>
      </c>
      <c r="N38" s="1" t="s">
        <v>317</v>
      </c>
      <c r="O38" s="1" t="s">
        <v>318</v>
      </c>
      <c r="Q38" s="1" t="s">
        <v>319</v>
      </c>
      <c r="R38" s="1">
        <v>100</v>
      </c>
      <c r="U38" s="3">
        <v>1</v>
      </c>
      <c r="V38" s="3">
        <v>2</v>
      </c>
      <c r="W38" s="2">
        <v>36708</v>
      </c>
      <c r="AA38" s="1" t="str">
        <f>"982112112"</f>
        <v>982112112</v>
      </c>
      <c r="AB38" s="1" t="str">
        <f>"00015"</f>
        <v>00015</v>
      </c>
      <c r="AC38" s="1" t="s">
        <v>98</v>
      </c>
      <c r="AI38" s="1" t="str">
        <f>"18240"</f>
        <v>18240</v>
      </c>
    </row>
    <row r="39" spans="1:37" x14ac:dyDescent="0.25">
      <c r="A39" s="1" t="s">
        <v>37</v>
      </c>
      <c r="B39" s="3">
        <v>12456</v>
      </c>
      <c r="C39" s="3">
        <v>187160</v>
      </c>
      <c r="D39" s="1" t="s">
        <v>247</v>
      </c>
      <c r="E39" s="1" t="s">
        <v>248</v>
      </c>
      <c r="F39" s="1" t="s">
        <v>249</v>
      </c>
      <c r="G39" s="1" t="s">
        <v>249</v>
      </c>
      <c r="H39" s="2">
        <v>45215</v>
      </c>
      <c r="I39" s="1" t="s">
        <v>250</v>
      </c>
      <c r="J39" s="1" t="s">
        <v>251</v>
      </c>
      <c r="M39" s="1" t="str">
        <f>"55000"</f>
        <v>55000</v>
      </c>
      <c r="N39" s="1" t="s">
        <v>252</v>
      </c>
      <c r="O39" s="1" t="s">
        <v>253</v>
      </c>
      <c r="R39" s="1">
        <v>2521</v>
      </c>
      <c r="U39" s="3">
        <v>10</v>
      </c>
      <c r="V39" s="3">
        <v>37</v>
      </c>
      <c r="W39" s="2">
        <v>19360</v>
      </c>
      <c r="Z39" s="3">
        <v>220</v>
      </c>
      <c r="AA39" s="1" t="str">
        <f>"428268023"</f>
        <v>428268023</v>
      </c>
      <c r="AB39" s="1" t="str">
        <f>"30587"</f>
        <v>30587</v>
      </c>
      <c r="AC39" s="1" t="s">
        <v>107</v>
      </c>
      <c r="AI39" s="1" t="str">
        <f>"55029"</f>
        <v>55029</v>
      </c>
    </row>
    <row r="40" spans="1:37" x14ac:dyDescent="0.25">
      <c r="A40" s="1" t="s">
        <v>37</v>
      </c>
      <c r="B40" s="3">
        <v>2186</v>
      </c>
      <c r="C40" s="3">
        <v>187158</v>
      </c>
      <c r="D40" s="1" t="s">
        <v>254</v>
      </c>
      <c r="E40" s="1" t="s">
        <v>100</v>
      </c>
      <c r="F40" s="1" t="s">
        <v>263</v>
      </c>
      <c r="G40" s="1" t="s">
        <v>263</v>
      </c>
      <c r="H40" s="2">
        <v>45215</v>
      </c>
      <c r="I40" s="1" t="s">
        <v>250</v>
      </c>
      <c r="J40" s="1" t="s">
        <v>295</v>
      </c>
      <c r="K40" s="1" t="s">
        <v>296</v>
      </c>
      <c r="M40" s="1" t="str">
        <f>"25000"</f>
        <v>25000</v>
      </c>
      <c r="N40" s="1" t="s">
        <v>289</v>
      </c>
      <c r="O40" s="1" t="s">
        <v>297</v>
      </c>
      <c r="R40" s="1">
        <v>2000</v>
      </c>
      <c r="S40" s="3">
        <v>1480</v>
      </c>
      <c r="T40" s="2">
        <v>39446</v>
      </c>
      <c r="U40" s="3">
        <v>11</v>
      </c>
      <c r="V40" s="3">
        <v>50</v>
      </c>
      <c r="W40" s="2">
        <v>31413</v>
      </c>
      <c r="Z40" s="3">
        <v>110</v>
      </c>
      <c r="AC40" s="1" t="s">
        <v>107</v>
      </c>
      <c r="AI40" s="1" t="str">
        <f>"25056"</f>
        <v>25056</v>
      </c>
      <c r="AJ40" s="1">
        <v>464482</v>
      </c>
    </row>
    <row r="41" spans="1:37" x14ac:dyDescent="0.25">
      <c r="A41" s="1" t="s">
        <v>37</v>
      </c>
      <c r="B41" s="3">
        <v>2909</v>
      </c>
      <c r="C41" s="3">
        <v>187158</v>
      </c>
      <c r="D41" s="1" t="s">
        <v>254</v>
      </c>
      <c r="E41" s="1" t="s">
        <v>100</v>
      </c>
      <c r="F41" s="1" t="s">
        <v>263</v>
      </c>
      <c r="G41" s="1" t="s">
        <v>263</v>
      </c>
      <c r="H41" s="2">
        <v>45215</v>
      </c>
      <c r="I41" s="1" t="s">
        <v>250</v>
      </c>
      <c r="J41" s="1" t="s">
        <v>286</v>
      </c>
      <c r="K41" s="1" t="s">
        <v>287</v>
      </c>
      <c r="L41" s="1" t="s">
        <v>288</v>
      </c>
      <c r="M41" s="1" t="str">
        <f>"25000"</f>
        <v>25000</v>
      </c>
      <c r="N41" s="1" t="s">
        <v>289</v>
      </c>
      <c r="O41" s="1" t="s">
        <v>290</v>
      </c>
      <c r="R41" s="1">
        <v>2000</v>
      </c>
      <c r="S41" s="3">
        <v>1650</v>
      </c>
      <c r="T41" s="2">
        <v>39234</v>
      </c>
      <c r="U41" s="3">
        <v>9</v>
      </c>
      <c r="V41" s="3">
        <v>38</v>
      </c>
      <c r="W41" s="2">
        <v>24108</v>
      </c>
      <c r="Z41" s="3">
        <v>160</v>
      </c>
      <c r="AC41" s="1" t="s">
        <v>107</v>
      </c>
      <c r="AI41" s="1" t="str">
        <f>"25056"</f>
        <v>25056</v>
      </c>
      <c r="AJ41" s="1">
        <v>473378</v>
      </c>
      <c r="AK41" s="3">
        <v>4</v>
      </c>
    </row>
    <row r="42" spans="1:37" x14ac:dyDescent="0.25">
      <c r="A42" s="1" t="s">
        <v>37</v>
      </c>
      <c r="B42" s="3">
        <v>2199</v>
      </c>
      <c r="C42" s="3">
        <v>187158</v>
      </c>
      <c r="D42" s="1" t="s">
        <v>254</v>
      </c>
      <c r="E42" s="1" t="s">
        <v>108</v>
      </c>
      <c r="F42" s="1" t="s">
        <v>172</v>
      </c>
      <c r="G42" s="1" t="s">
        <v>172</v>
      </c>
      <c r="H42" s="2">
        <v>45215</v>
      </c>
      <c r="I42" s="1" t="s">
        <v>250</v>
      </c>
      <c r="J42" s="1" t="s">
        <v>335</v>
      </c>
      <c r="M42" s="1" t="str">
        <f>"71150"</f>
        <v>71150</v>
      </c>
      <c r="N42" s="1" t="s">
        <v>336</v>
      </c>
      <c r="O42" s="1" t="s">
        <v>337</v>
      </c>
      <c r="Q42" s="1" t="s">
        <v>338</v>
      </c>
      <c r="R42" s="1">
        <v>1340</v>
      </c>
      <c r="U42" s="3">
        <v>6</v>
      </c>
      <c r="V42" s="3">
        <v>13</v>
      </c>
      <c r="W42" s="2">
        <v>29221</v>
      </c>
      <c r="Z42" s="3">
        <v>90</v>
      </c>
      <c r="AA42" s="1" t="str">
        <f>"484384771"</f>
        <v>484384771</v>
      </c>
      <c r="AB42" s="1" t="str">
        <f>""</f>
        <v/>
      </c>
      <c r="AC42" s="1" t="s">
        <v>107</v>
      </c>
      <c r="AI42" s="1" t="str">
        <f>"71073"</f>
        <v>71073</v>
      </c>
      <c r="AJ42" s="1">
        <v>472981</v>
      </c>
    </row>
    <row r="43" spans="1:37" x14ac:dyDescent="0.25">
      <c r="A43" s="1" t="s">
        <v>37</v>
      </c>
      <c r="B43" s="3">
        <v>594</v>
      </c>
      <c r="C43" s="3">
        <v>187160</v>
      </c>
      <c r="D43" s="1" t="s">
        <v>247</v>
      </c>
      <c r="E43" s="1" t="s">
        <v>248</v>
      </c>
      <c r="F43" s="1" t="s">
        <v>263</v>
      </c>
      <c r="G43" s="1" t="s">
        <v>263</v>
      </c>
      <c r="H43" s="2">
        <v>45215</v>
      </c>
      <c r="I43" s="1" t="s">
        <v>250</v>
      </c>
      <c r="J43" s="1" t="s">
        <v>264</v>
      </c>
      <c r="M43" s="1" t="str">
        <f>"68300"</f>
        <v>68300</v>
      </c>
      <c r="N43" s="1" t="s">
        <v>265</v>
      </c>
      <c r="O43" s="1" t="s">
        <v>266</v>
      </c>
      <c r="R43" s="1">
        <v>5665</v>
      </c>
      <c r="S43" s="3">
        <v>3624</v>
      </c>
      <c r="T43" s="2">
        <v>36091</v>
      </c>
      <c r="U43" s="3">
        <v>25</v>
      </c>
      <c r="V43" s="3">
        <v>175</v>
      </c>
      <c r="W43" s="2">
        <v>29587</v>
      </c>
      <c r="Z43" s="3">
        <v>750</v>
      </c>
      <c r="AC43" s="1" t="s">
        <v>261</v>
      </c>
      <c r="AI43" s="1" t="str">
        <f>"68297"</f>
        <v>68297</v>
      </c>
      <c r="AJ43" s="1">
        <v>186590</v>
      </c>
      <c r="AK43" s="3">
        <v>4</v>
      </c>
    </row>
    <row r="44" spans="1:37" x14ac:dyDescent="0.25">
      <c r="A44" s="1" t="s">
        <v>37</v>
      </c>
      <c r="B44" s="3">
        <v>208916</v>
      </c>
      <c r="C44" s="3">
        <v>187164</v>
      </c>
      <c r="D44" s="1" t="s">
        <v>344</v>
      </c>
      <c r="E44" s="1" t="s">
        <v>108</v>
      </c>
      <c r="F44" s="1" t="s">
        <v>172</v>
      </c>
      <c r="G44" s="1" t="s">
        <v>172</v>
      </c>
      <c r="H44" s="2">
        <v>45246</v>
      </c>
      <c r="I44" s="1" t="s">
        <v>250</v>
      </c>
      <c r="J44" s="1" t="s">
        <v>345</v>
      </c>
      <c r="K44" s="1" t="s">
        <v>346</v>
      </c>
      <c r="L44" s="1" t="s">
        <v>347</v>
      </c>
      <c r="M44" s="1" t="str">
        <f>"30620"</f>
        <v>30620</v>
      </c>
      <c r="N44" s="1" t="s">
        <v>348</v>
      </c>
      <c r="O44" s="1" t="s">
        <v>349</v>
      </c>
      <c r="Q44" s="1" t="s">
        <v>350</v>
      </c>
      <c r="R44" s="1">
        <v>1820</v>
      </c>
      <c r="U44" s="3">
        <v>5</v>
      </c>
      <c r="V44" s="3">
        <v>28</v>
      </c>
      <c r="W44" s="2">
        <v>40863</v>
      </c>
      <c r="AA44" s="1" t="str">
        <f>"327373296"</f>
        <v>327373296</v>
      </c>
      <c r="AB44" s="1" t="str">
        <f>""</f>
        <v/>
      </c>
      <c r="AC44" s="1" t="s">
        <v>107</v>
      </c>
      <c r="AI44" s="1" t="str">
        <f>"30036"</f>
        <v>30036</v>
      </c>
      <c r="AJ44" s="1">
        <v>464491</v>
      </c>
      <c r="AK44" s="3">
        <v>4</v>
      </c>
    </row>
    <row r="45" spans="1:37" x14ac:dyDescent="0.25">
      <c r="A45" s="1" t="s">
        <v>37</v>
      </c>
      <c r="B45" s="3">
        <v>75</v>
      </c>
      <c r="C45" s="3">
        <v>187158</v>
      </c>
      <c r="D45" s="1" t="s">
        <v>254</v>
      </c>
      <c r="E45" s="1" t="s">
        <v>248</v>
      </c>
      <c r="F45" s="1" t="s">
        <v>255</v>
      </c>
      <c r="G45" s="1" t="s">
        <v>255</v>
      </c>
      <c r="H45" s="2">
        <v>45215</v>
      </c>
      <c r="I45" s="1" t="s">
        <v>256</v>
      </c>
      <c r="J45" s="1" t="s">
        <v>257</v>
      </c>
      <c r="K45" s="1" t="s">
        <v>258</v>
      </c>
      <c r="M45" s="1" t="str">
        <f>"43750"</f>
        <v>43750</v>
      </c>
      <c r="N45" s="1" t="s">
        <v>259</v>
      </c>
      <c r="O45" s="1" t="s">
        <v>260</v>
      </c>
      <c r="R45" s="1">
        <v>6688</v>
      </c>
      <c r="S45" s="3">
        <v>5257</v>
      </c>
      <c r="T45" s="2">
        <v>39767</v>
      </c>
      <c r="U45" s="3">
        <v>18</v>
      </c>
      <c r="V45" s="3">
        <v>180</v>
      </c>
      <c r="W45" s="2">
        <v>28856</v>
      </c>
      <c r="Z45" s="3">
        <v>750</v>
      </c>
      <c r="AA45" s="1" t="str">
        <f>"428268023"</f>
        <v>428268023</v>
      </c>
      <c r="AB45" s="1" t="str">
        <f>"26593"</f>
        <v>26593</v>
      </c>
      <c r="AC45" s="1" t="s">
        <v>261</v>
      </c>
      <c r="AF45" s="1" t="s">
        <v>262</v>
      </c>
      <c r="AI45" s="1" t="str">
        <f>"43251"</f>
        <v>43251</v>
      </c>
      <c r="AJ45" s="1">
        <v>188014</v>
      </c>
      <c r="AK45" s="3">
        <v>7</v>
      </c>
    </row>
    <row r="46" spans="1:37" x14ac:dyDescent="0.25">
      <c r="A46" s="1" t="s">
        <v>37</v>
      </c>
      <c r="B46" s="3">
        <v>1233</v>
      </c>
      <c r="C46" s="3">
        <v>187158</v>
      </c>
      <c r="D46" s="1" t="s">
        <v>254</v>
      </c>
      <c r="E46" s="1" t="s">
        <v>108</v>
      </c>
      <c r="F46" s="1" t="s">
        <v>172</v>
      </c>
      <c r="G46" s="1" t="s">
        <v>172</v>
      </c>
      <c r="H46" s="2">
        <v>45215</v>
      </c>
      <c r="I46" s="1" t="s">
        <v>250</v>
      </c>
      <c r="J46" s="1" t="s">
        <v>339</v>
      </c>
      <c r="K46" s="1" t="s">
        <v>340</v>
      </c>
      <c r="L46" s="1" t="s">
        <v>341</v>
      </c>
      <c r="M46" s="1" t="str">
        <f>"38170"</f>
        <v>38170</v>
      </c>
      <c r="N46" s="1" t="s">
        <v>342</v>
      </c>
      <c r="O46" s="1" t="s">
        <v>343</v>
      </c>
      <c r="R46" s="1">
        <v>1322</v>
      </c>
      <c r="U46" s="3">
        <v>9</v>
      </c>
      <c r="V46" s="3">
        <v>17</v>
      </c>
      <c r="W46" s="2">
        <v>30317</v>
      </c>
      <c r="Z46" s="3">
        <v>80</v>
      </c>
      <c r="AC46" s="1" t="s">
        <v>107</v>
      </c>
      <c r="AI46" s="1" t="str">
        <f>"38485"</f>
        <v>38485</v>
      </c>
    </row>
    <row r="47" spans="1:37" x14ac:dyDescent="0.25">
      <c r="A47" s="1" t="s">
        <v>37</v>
      </c>
      <c r="B47" s="3">
        <v>1104</v>
      </c>
      <c r="C47" s="3">
        <v>187158</v>
      </c>
      <c r="D47" s="1" t="s">
        <v>254</v>
      </c>
      <c r="E47" s="1" t="s">
        <v>248</v>
      </c>
      <c r="F47" s="1" t="s">
        <v>255</v>
      </c>
      <c r="G47" s="1" t="s">
        <v>255</v>
      </c>
      <c r="H47" s="2">
        <v>45215</v>
      </c>
      <c r="I47" s="1" t="s">
        <v>250</v>
      </c>
      <c r="J47" s="1" t="s">
        <v>272</v>
      </c>
      <c r="K47" s="1" t="s">
        <v>273</v>
      </c>
      <c r="M47" s="1" t="str">
        <f>"73100"</f>
        <v>73100</v>
      </c>
      <c r="N47" s="1" t="s">
        <v>274</v>
      </c>
      <c r="O47" s="1" t="s">
        <v>275</v>
      </c>
      <c r="R47" s="1">
        <v>4513</v>
      </c>
      <c r="S47" s="3">
        <v>3700</v>
      </c>
      <c r="T47" s="2">
        <v>38861</v>
      </c>
      <c r="U47" s="3">
        <v>18</v>
      </c>
      <c r="V47" s="3">
        <v>90</v>
      </c>
      <c r="W47" s="2">
        <v>32260</v>
      </c>
      <c r="Z47" s="3">
        <v>520</v>
      </c>
      <c r="AC47" s="1" t="s">
        <v>98</v>
      </c>
      <c r="AI47" s="1" t="str">
        <f>"73008"</f>
        <v>73008</v>
      </c>
      <c r="AJ47" s="1">
        <v>188021</v>
      </c>
    </row>
    <row r="48" spans="1:37" x14ac:dyDescent="0.25">
      <c r="A48" s="1" t="s">
        <v>37</v>
      </c>
      <c r="B48" s="3">
        <v>1755</v>
      </c>
      <c r="C48" s="3">
        <v>187165</v>
      </c>
      <c r="D48" s="1" t="s">
        <v>267</v>
      </c>
      <c r="E48" s="1" t="s">
        <v>108</v>
      </c>
      <c r="F48" s="1" t="s">
        <v>172</v>
      </c>
      <c r="G48" s="1" t="s">
        <v>172</v>
      </c>
      <c r="H48" s="2">
        <v>45215</v>
      </c>
      <c r="I48" s="1" t="s">
        <v>250</v>
      </c>
      <c r="J48" s="1" t="s">
        <v>330</v>
      </c>
      <c r="M48" s="1" t="str">
        <f>"47300"</f>
        <v>47300</v>
      </c>
      <c r="N48" s="1" t="s">
        <v>133</v>
      </c>
      <c r="O48" s="1" t="s">
        <v>331</v>
      </c>
      <c r="R48" s="1">
        <v>1262</v>
      </c>
      <c r="U48" s="3">
        <v>5</v>
      </c>
      <c r="V48" s="3">
        <v>13</v>
      </c>
      <c r="W48" s="2">
        <v>25204</v>
      </c>
      <c r="Z48" s="3">
        <v>100</v>
      </c>
      <c r="AC48" s="1" t="s">
        <v>107</v>
      </c>
      <c r="AI48" s="1" t="str">
        <f>"47323"</f>
        <v>47323</v>
      </c>
      <c r="AJ48" s="1">
        <v>473003</v>
      </c>
    </row>
    <row r="49" spans="1:37" x14ac:dyDescent="0.25">
      <c r="A49" s="1" t="s">
        <v>37</v>
      </c>
      <c r="B49" s="3">
        <v>2148</v>
      </c>
      <c r="C49" s="3">
        <v>187165</v>
      </c>
      <c r="D49" s="1" t="s">
        <v>267</v>
      </c>
      <c r="E49" s="1" t="s">
        <v>100</v>
      </c>
      <c r="F49" s="1" t="s">
        <v>263</v>
      </c>
      <c r="G49" s="1" t="s">
        <v>263</v>
      </c>
      <c r="H49" s="2">
        <v>45215</v>
      </c>
      <c r="I49" s="1" t="s">
        <v>250</v>
      </c>
      <c r="J49" s="1" t="s">
        <v>291</v>
      </c>
      <c r="K49" s="1" t="s">
        <v>292</v>
      </c>
      <c r="M49" s="1" t="str">
        <f>"33200"</f>
        <v>33200</v>
      </c>
      <c r="N49" s="1" t="s">
        <v>293</v>
      </c>
      <c r="O49" s="1" t="s">
        <v>294</v>
      </c>
      <c r="R49" s="1">
        <v>1217</v>
      </c>
      <c r="U49" s="3">
        <v>8</v>
      </c>
      <c r="V49" s="3">
        <v>35</v>
      </c>
      <c r="W49" s="2">
        <v>31413</v>
      </c>
      <c r="Z49" s="3">
        <v>103</v>
      </c>
      <c r="AA49" s="1" t="str">
        <f>"428268023"</f>
        <v>428268023</v>
      </c>
      <c r="AB49" s="1" t="str">
        <f>"00861"</f>
        <v>00861</v>
      </c>
      <c r="AC49" s="1" t="s">
        <v>107</v>
      </c>
      <c r="AI49" s="1" t="str">
        <f>"33063"</f>
        <v>33063</v>
      </c>
      <c r="AJ49" s="1">
        <v>473395</v>
      </c>
    </row>
    <row r="50" spans="1:37" x14ac:dyDescent="0.25">
      <c r="A50" s="1" t="s">
        <v>37</v>
      </c>
      <c r="B50" s="3">
        <v>11362</v>
      </c>
      <c r="C50" s="3">
        <v>187165</v>
      </c>
      <c r="D50" s="1" t="s">
        <v>267</v>
      </c>
      <c r="E50" s="1" t="s">
        <v>108</v>
      </c>
      <c r="F50" s="1" t="s">
        <v>172</v>
      </c>
      <c r="G50" s="1" t="s">
        <v>172</v>
      </c>
      <c r="H50" s="2">
        <v>45215</v>
      </c>
      <c r="I50" s="1" t="s">
        <v>250</v>
      </c>
      <c r="J50" s="1" t="s">
        <v>332</v>
      </c>
      <c r="K50" s="1" t="s">
        <v>293</v>
      </c>
      <c r="M50" s="1" t="str">
        <f>"33150"</f>
        <v>33150</v>
      </c>
      <c r="N50" s="1" t="s">
        <v>333</v>
      </c>
      <c r="O50" s="1" t="s">
        <v>334</v>
      </c>
      <c r="R50" s="1">
        <v>790</v>
      </c>
      <c r="U50" s="3">
        <v>3</v>
      </c>
      <c r="V50" s="3">
        <v>9</v>
      </c>
      <c r="W50" s="2">
        <v>25569</v>
      </c>
      <c r="Z50" s="3">
        <v>50</v>
      </c>
      <c r="AC50" s="1" t="s">
        <v>107</v>
      </c>
      <c r="AI50" s="1" t="str">
        <f>"33119"</f>
        <v>33119</v>
      </c>
    </row>
    <row r="51" spans="1:37" x14ac:dyDescent="0.25">
      <c r="A51" s="1" t="s">
        <v>37</v>
      </c>
      <c r="B51" s="3">
        <v>756</v>
      </c>
      <c r="C51" s="3">
        <v>187165</v>
      </c>
      <c r="D51" s="1" t="s">
        <v>267</v>
      </c>
      <c r="E51" s="1" t="s">
        <v>248</v>
      </c>
      <c r="F51" s="1" t="s">
        <v>255</v>
      </c>
      <c r="G51" s="1" t="s">
        <v>255</v>
      </c>
      <c r="H51" s="2">
        <v>45215</v>
      </c>
      <c r="I51" s="1" t="s">
        <v>250</v>
      </c>
      <c r="J51" s="1" t="s">
        <v>268</v>
      </c>
      <c r="K51" s="1" t="s">
        <v>269</v>
      </c>
      <c r="M51" s="1" t="str">
        <f>"12100"</f>
        <v>12100</v>
      </c>
      <c r="N51" s="1" t="s">
        <v>270</v>
      </c>
      <c r="O51" s="1" t="s">
        <v>271</v>
      </c>
      <c r="R51" s="1">
        <v>5022</v>
      </c>
      <c r="S51" s="3">
        <v>4200</v>
      </c>
      <c r="T51" s="2">
        <v>38353</v>
      </c>
      <c r="U51" s="3">
        <v>21</v>
      </c>
      <c r="V51" s="3">
        <v>90</v>
      </c>
      <c r="W51" s="2">
        <v>31413</v>
      </c>
      <c r="Z51" s="3">
        <v>764</v>
      </c>
      <c r="AC51" s="1" t="s">
        <v>261</v>
      </c>
      <c r="AI51" s="1" t="str">
        <f>"12145"</f>
        <v>12145</v>
      </c>
      <c r="AJ51" s="1">
        <v>188000</v>
      </c>
      <c r="AK51" s="3">
        <v>7</v>
      </c>
    </row>
    <row r="52" spans="1:37" x14ac:dyDescent="0.25">
      <c r="A52" s="1" t="s">
        <v>37</v>
      </c>
      <c r="B52" s="3">
        <v>223223</v>
      </c>
      <c r="C52" s="3">
        <v>551</v>
      </c>
      <c r="D52" s="1" t="s">
        <v>151</v>
      </c>
      <c r="E52" s="1" t="s">
        <v>92</v>
      </c>
      <c r="F52" s="1" t="s">
        <v>321</v>
      </c>
      <c r="G52" s="1" t="s">
        <v>321</v>
      </c>
      <c r="H52" s="2">
        <v>45245</v>
      </c>
      <c r="I52" s="1" t="s">
        <v>325</v>
      </c>
      <c r="J52" s="1" t="s">
        <v>326</v>
      </c>
      <c r="M52" s="1" t="str">
        <f>"78000"</f>
        <v>78000</v>
      </c>
      <c r="N52" s="1" t="s">
        <v>327</v>
      </c>
      <c r="O52" s="1" t="s">
        <v>328</v>
      </c>
      <c r="Q52" s="1" t="s">
        <v>329</v>
      </c>
      <c r="R52" s="1">
        <v>120</v>
      </c>
      <c r="U52" s="3">
        <v>1</v>
      </c>
      <c r="V52" s="3">
        <v>2</v>
      </c>
      <c r="W52" s="2">
        <v>41266</v>
      </c>
      <c r="AA52" s="1" t="str">
        <f>"790886097"</f>
        <v>790886097</v>
      </c>
      <c r="AB52" s="1" t="str">
        <f>"00019"</f>
        <v>00019</v>
      </c>
      <c r="AC52" s="1" t="s">
        <v>98</v>
      </c>
      <c r="AI52" s="1" t="str">
        <f>"78646"</f>
        <v>78646</v>
      </c>
    </row>
    <row r="53" spans="1:37" x14ac:dyDescent="0.25">
      <c r="A53" s="1" t="s">
        <v>37</v>
      </c>
      <c r="B53" s="3">
        <v>3025</v>
      </c>
      <c r="C53" s="3">
        <v>474211</v>
      </c>
      <c r="D53" s="1" t="s">
        <v>163</v>
      </c>
      <c r="E53" s="1" t="s">
        <v>100</v>
      </c>
      <c r="F53" s="1" t="s">
        <v>164</v>
      </c>
      <c r="G53" s="1" t="s">
        <v>164</v>
      </c>
      <c r="H53" s="2">
        <v>45315</v>
      </c>
      <c r="I53" s="1" t="s">
        <v>298</v>
      </c>
      <c r="J53" s="1" t="s">
        <v>299</v>
      </c>
      <c r="M53" s="1" t="str">
        <f>"35770"</f>
        <v>35770</v>
      </c>
      <c r="N53" s="1" t="s">
        <v>300</v>
      </c>
      <c r="Q53" s="1" t="s">
        <v>301</v>
      </c>
      <c r="R53" s="1">
        <v>500</v>
      </c>
      <c r="S53" s="3">
        <v>700</v>
      </c>
      <c r="T53" s="2">
        <v>42965</v>
      </c>
      <c r="U53" s="3">
        <v>3</v>
      </c>
      <c r="V53" s="3">
        <v>5</v>
      </c>
      <c r="W53" s="2">
        <v>29952</v>
      </c>
      <c r="AA53" s="1" t="str">
        <f>"478962855"</f>
        <v>478962855</v>
      </c>
      <c r="AB53" s="1" t="str">
        <f>"00035"</f>
        <v>00035</v>
      </c>
      <c r="AC53" s="1" t="s">
        <v>128</v>
      </c>
      <c r="AI53" s="1" t="str">
        <f>"35352"</f>
        <v>35352</v>
      </c>
      <c r="AK53" s="3">
        <v>5</v>
      </c>
    </row>
    <row r="54" spans="1:37" x14ac:dyDescent="0.25">
      <c r="A54" s="1" t="s">
        <v>37</v>
      </c>
      <c r="B54" s="3">
        <v>473855</v>
      </c>
      <c r="C54" s="3">
        <v>13238</v>
      </c>
      <c r="D54" s="1" t="s">
        <v>320</v>
      </c>
      <c r="E54" s="1" t="s">
        <v>92</v>
      </c>
      <c r="F54" s="1" t="s">
        <v>101</v>
      </c>
      <c r="G54" s="1" t="s">
        <v>101</v>
      </c>
      <c r="H54" s="2">
        <v>45247</v>
      </c>
      <c r="I54" s="1" t="s">
        <v>321</v>
      </c>
      <c r="J54" s="1" t="s">
        <v>322</v>
      </c>
      <c r="M54" s="1" t="str">
        <f>"14510"</f>
        <v>14510</v>
      </c>
      <c r="N54" s="1" t="s">
        <v>323</v>
      </c>
      <c r="Q54" s="1" t="s">
        <v>324</v>
      </c>
      <c r="R54" s="1">
        <v>150</v>
      </c>
      <c r="U54" s="3">
        <v>1</v>
      </c>
      <c r="V54" s="3">
        <v>3</v>
      </c>
      <c r="W54" s="2">
        <v>43747</v>
      </c>
      <c r="AA54" s="1" t="str">
        <f>"982050841"</f>
        <v>982050841</v>
      </c>
      <c r="AB54" s="1" t="str">
        <f>"00013"</f>
        <v>00013</v>
      </c>
      <c r="AC54" s="1" t="s">
        <v>128</v>
      </c>
      <c r="AI54" s="1" t="str">
        <f>"14338"</f>
        <v>14338</v>
      </c>
    </row>
    <row r="55" spans="1:37" x14ac:dyDescent="0.25">
      <c r="A55" s="1" t="s">
        <v>37</v>
      </c>
      <c r="B55" s="3">
        <v>516587</v>
      </c>
      <c r="C55" s="3">
        <v>231342</v>
      </c>
      <c r="D55" s="1" t="s">
        <v>231</v>
      </c>
      <c r="E55" s="1" t="s">
        <v>61</v>
      </c>
      <c r="F55" s="1" t="s">
        <v>232</v>
      </c>
      <c r="G55" s="1" t="s">
        <v>232</v>
      </c>
      <c r="J55" s="1" t="s">
        <v>368</v>
      </c>
      <c r="K55" s="1" t="s">
        <v>369</v>
      </c>
      <c r="M55" s="1" t="s">
        <v>370</v>
      </c>
      <c r="N55" s="1" t="s">
        <v>371</v>
      </c>
      <c r="Q55" s="1" t="s">
        <v>231</v>
      </c>
      <c r="R55" s="1">
        <v>1238</v>
      </c>
      <c r="U55" s="3">
        <v>8</v>
      </c>
      <c r="V55" s="3">
        <v>66</v>
      </c>
      <c r="W55" s="2">
        <v>45306</v>
      </c>
      <c r="AA55" s="1" t="s">
        <v>372</v>
      </c>
      <c r="AB55" s="1" t="s">
        <v>373</v>
      </c>
      <c r="AC55" s="1" t="s">
        <v>45</v>
      </c>
      <c r="AG55" s="1" t="s">
        <v>374</v>
      </c>
      <c r="AH55" s="1" t="s">
        <v>375</v>
      </c>
      <c r="AI55" s="1" t="s">
        <v>376</v>
      </c>
    </row>
  </sheetData>
  <sortState ref="A2:AK55">
    <sortCondition ref="Y2:Y55"/>
    <sortCondition ref="X2:X55"/>
  </sortState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VERSPAN, Marie France</dc:creator>
  <cp:lastModifiedBy>THIELLET, Alexandra</cp:lastModifiedBy>
  <dcterms:created xsi:type="dcterms:W3CDTF">2024-02-19T18:46:55Z</dcterms:created>
  <dcterms:modified xsi:type="dcterms:W3CDTF">2024-02-20T15:55:55Z</dcterms:modified>
</cp:coreProperties>
</file>